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AUDITORIA\Auditoria 2021 (2020) ERNST\Publicação Balanço\Portal da Transparência\"/>
    </mc:Choice>
  </mc:AlternateContent>
  <bookViews>
    <workbookView xWindow="0" yWindow="0" windowWidth="16170" windowHeight="5745"/>
  </bookViews>
  <sheets>
    <sheet name="BP" sheetId="53" r:id="rId1"/>
    <sheet name="DRE" sheetId="3" r:id="rId2"/>
    <sheet name="DRA" sheetId="54" r:id="rId3"/>
    <sheet name="DMPL" sheetId="55" r:id="rId4"/>
    <sheet name="DFC" sheetId="56" r:id="rId5"/>
    <sheet name="DVA" sheetId="57" r:id="rId6"/>
    <sheet name="BALANCETE 12-2020V2" sheetId="50" state="hidden" r:id="rId7"/>
    <sheet name="BALANCETE 12-2020" sheetId="49" state="hidden" r:id="rId8"/>
    <sheet name="DMPL (2)" sheetId="52" state="hidden" r:id="rId9"/>
    <sheet name="Balancete Pessoal" sheetId="48" state="hidden" r:id="rId10"/>
    <sheet name="1. Contexto Operacional a)" sheetId="10" state="hidden" r:id="rId11"/>
    <sheet name="1. Contexto operacional b)" sheetId="11" state="hidden" r:id="rId12"/>
    <sheet name="4. Caixa e equivalentes de caix" sheetId="12" state="hidden" r:id="rId13"/>
    <sheet name="5. Contas a receber " sheetId="42" state="hidden" r:id="rId14"/>
    <sheet name="6. Outros créditos " sheetId="43" state="hidden" r:id="rId15"/>
    <sheet name="7. Partes relacionadas" sheetId="15" state="hidden" r:id="rId16"/>
    <sheet name="8. Investimentos a)" sheetId="16" state="hidden" r:id="rId17"/>
    <sheet name="8. Investimentos b)" sheetId="17" state="hidden" r:id="rId18"/>
    <sheet name="9. Imobilizado" sheetId="18" state="hidden" r:id="rId19"/>
    <sheet name="9. Imobilizado a) b)" sheetId="19" state="hidden" r:id="rId20"/>
    <sheet name="9. Imobilizado c)" sheetId="20" state="hidden" r:id="rId21"/>
    <sheet name="10. Intangível" sheetId="21" state="hidden" r:id="rId22"/>
    <sheet name="11. Uso do bem público (CESAP)" sheetId="22" state="hidden" r:id="rId23"/>
    <sheet name="12. Patrimônio líquido" sheetId="24" state="hidden" r:id="rId24"/>
    <sheet name="13. Receita operacional líquida" sheetId="25" state="hidden" r:id="rId25"/>
    <sheet name="14. Custos operacionais" sheetId="26" state="hidden" r:id="rId26"/>
    <sheet name="15. Energia elétrica compra " sheetId="45" state="hidden" r:id="rId27"/>
    <sheet name="razão energia elétrica comprada" sheetId="44" state="hidden" r:id="rId28"/>
    <sheet name="16. Despesas Gerais e Administr" sheetId="46" state="hidden" r:id="rId29"/>
    <sheet name="17. Outras Desp. Rec. Oper. liq" sheetId="47" state="hidden" r:id="rId30"/>
    <sheet name="18. Receitas e despesas fin.liq" sheetId="29" state="hidden" r:id="rId31"/>
    <sheet name="19. Imposto de renda e cont.soc" sheetId="30" state="hidden" r:id="rId32"/>
    <sheet name="20. Instrumentos financeiros" sheetId="31" state="hidden" r:id="rId33"/>
    <sheet name="Plan1" sheetId="40" state="hidden" r:id="rId34"/>
  </sheets>
  <externalReferences>
    <externalReference r:id="rId35"/>
    <externalReference r:id="rId36"/>
    <externalReference r:id="rId37"/>
    <externalReference r:id="rId38"/>
  </externalReferences>
  <definedNames>
    <definedName name="_xlnm._FilterDatabase" localSheetId="13" hidden="1">'5. Contas a receber '!$A$1:$C$58</definedName>
    <definedName name="_xlnm._FilterDatabase" localSheetId="9" hidden="1">'Balancete Pessoal'!$A$1:$AK$114</definedName>
    <definedName name="_xlnm._FilterDatabase" localSheetId="27" hidden="1">'razão energia elétrica comprada'!#REF!</definedName>
    <definedName name="_xlnm.Print_Area" localSheetId="31">'19. Imposto de renda e cont.soc'!$A$1:$H$40</definedName>
    <definedName name="_xlnm.Print_Area" localSheetId="0">BP!$A$1:$V$179</definedName>
    <definedName name="_xlnm.Print_Area" localSheetId="4">DFC!$A$1:$D$48</definedName>
    <definedName name="_xlnm.Print_Area" localSheetId="5">DVA!$A$1:$H$52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4" l="1"/>
  <c r="C9" i="54"/>
  <c r="B9" i="54"/>
  <c r="B10" i="54" s="1"/>
  <c r="E41" i="17" l="1"/>
  <c r="B42" i="17"/>
  <c r="K55" i="52" l="1"/>
  <c r="K56" i="52" s="1"/>
  <c r="E49" i="52" s="1"/>
  <c r="F55" i="52"/>
  <c r="D52" i="52"/>
  <c r="G52" i="52" s="1"/>
  <c r="K51" i="52"/>
  <c r="L50" i="52"/>
  <c r="K50" i="52"/>
  <c r="L49" i="52"/>
  <c r="K45" i="52"/>
  <c r="E45" i="52"/>
  <c r="E43" i="52"/>
  <c r="B43" i="52"/>
  <c r="A43" i="52"/>
  <c r="K42" i="52"/>
  <c r="E26" i="52" s="1"/>
  <c r="E31" i="52" s="1"/>
  <c r="K39" i="52"/>
  <c r="D34" i="52" s="1"/>
  <c r="E39" i="52"/>
  <c r="K38" i="52"/>
  <c r="K37" i="52"/>
  <c r="K48" i="52" s="1"/>
  <c r="F37" i="52"/>
  <c r="A34" i="52"/>
  <c r="K33" i="52"/>
  <c r="D33" i="52"/>
  <c r="B33" i="52"/>
  <c r="E32" i="52"/>
  <c r="B32" i="52"/>
  <c r="B31" i="52"/>
  <c r="B42" i="52" s="1"/>
  <c r="B53" i="52" s="1"/>
  <c r="K30" i="52"/>
  <c r="K32" i="52" s="1"/>
  <c r="K34" i="52" s="1"/>
  <c r="D29" i="52"/>
  <c r="G29" i="52" s="1"/>
  <c r="C25" i="52"/>
  <c r="C31" i="52" s="1"/>
  <c r="C42" i="52" s="1"/>
  <c r="G24" i="52"/>
  <c r="D22" i="52"/>
  <c r="K40" i="52" l="1"/>
  <c r="K52" i="52"/>
  <c r="D45" i="52" s="1"/>
  <c r="G45" i="52" s="1"/>
  <c r="E34" i="52"/>
  <c r="E42" i="52" s="1"/>
  <c r="E53" i="52" s="1"/>
  <c r="G22" i="52"/>
  <c r="G25" i="52"/>
  <c r="C14" i="16"/>
  <c r="C16" i="16" s="1"/>
  <c r="C13" i="16"/>
  <c r="C53" i="30"/>
  <c r="B53" i="30"/>
  <c r="B52" i="30"/>
  <c r="G54" i="30"/>
  <c r="F54" i="30"/>
  <c r="F23" i="17"/>
  <c r="H13" i="17"/>
  <c r="H14" i="17" s="1"/>
  <c r="B22" i="17"/>
  <c r="B24" i="17" s="1"/>
  <c r="G34" i="52" l="1"/>
  <c r="B14" i="30"/>
  <c r="G13" i="17"/>
  <c r="C22" i="17" s="1"/>
  <c r="F23" i="52" l="1"/>
  <c r="B13" i="16"/>
  <c r="C32" i="52" l="1"/>
  <c r="C43" i="52"/>
  <c r="D43" i="52"/>
  <c r="D32" i="52"/>
  <c r="G23" i="52"/>
  <c r="F26" i="52"/>
  <c r="C36" i="30"/>
  <c r="I38" i="52" l="1"/>
  <c r="G32" i="52"/>
  <c r="G43" i="52"/>
  <c r="F27" i="52"/>
  <c r="F28" i="52" s="1"/>
  <c r="D28" i="52" s="1"/>
  <c r="G26" i="52"/>
  <c r="G28" i="52" l="1"/>
  <c r="D31" i="52"/>
  <c r="G27" i="52"/>
  <c r="F31" i="52"/>
  <c r="H24" i="21"/>
  <c r="H22" i="21"/>
  <c r="G21" i="21"/>
  <c r="H20" i="21"/>
  <c r="E21" i="21"/>
  <c r="H23" i="21"/>
  <c r="F22" i="21"/>
  <c r="D26" i="21"/>
  <c r="D24" i="21"/>
  <c r="D21" i="21"/>
  <c r="D20" i="21"/>
  <c r="C26" i="21"/>
  <c r="C24" i="21"/>
  <c r="C23" i="21"/>
  <c r="C22" i="21"/>
  <c r="B24" i="21"/>
  <c r="B22" i="21"/>
  <c r="B21" i="21"/>
  <c r="B20" i="21"/>
  <c r="F30" i="18"/>
  <c r="B26" i="21" l="1"/>
  <c r="G31" i="52"/>
  <c r="I27" i="52"/>
  <c r="B17" i="29"/>
  <c r="AM1672" i="50"/>
  <c r="B15" i="29"/>
  <c r="B14" i="29"/>
  <c r="B18" i="26"/>
  <c r="G12" i="17"/>
  <c r="B12" i="16"/>
  <c r="B11" i="16"/>
  <c r="E30" i="18" l="1"/>
  <c r="AM1745" i="50" l="1"/>
  <c r="AM1746" i="50" s="1"/>
  <c r="AM1744" i="50"/>
  <c r="AM1748" i="50" l="1"/>
  <c r="AM1750" i="50" s="1"/>
  <c r="AM1752" i="50" s="1"/>
  <c r="AM1749" i="50"/>
  <c r="AM1754" i="50" s="1"/>
  <c r="AM1756" i="50" s="1"/>
  <c r="D9" i="19" l="1"/>
  <c r="D7" i="19"/>
  <c r="F13" i="18"/>
  <c r="B11" i="31" l="1"/>
  <c r="B10" i="31"/>
  <c r="E39" i="30"/>
  <c r="C39" i="30"/>
  <c r="B28" i="30"/>
  <c r="B30" i="30" l="1"/>
  <c r="B29" i="30"/>
  <c r="C20" i="30" l="1"/>
  <c r="G21" i="30"/>
  <c r="F21" i="30"/>
  <c r="C14" i="30"/>
  <c r="B13" i="30"/>
  <c r="C13" i="30" s="1"/>
  <c r="B33" i="30" l="1"/>
  <c r="B31" i="30"/>
  <c r="B16" i="29"/>
  <c r="B18" i="29" s="1"/>
  <c r="B10" i="29"/>
  <c r="B9" i="29"/>
  <c r="B11" i="29"/>
  <c r="C14" i="47"/>
  <c r="B14" i="47"/>
  <c r="C22" i="47"/>
  <c r="C23" i="47" s="1"/>
  <c r="B22" i="47"/>
  <c r="B20" i="47"/>
  <c r="B19" i="47"/>
  <c r="B18" i="47"/>
  <c r="C11" i="47"/>
  <c r="C10" i="47"/>
  <c r="C15" i="47" s="1"/>
  <c r="B13" i="47"/>
  <c r="B12" i="47"/>
  <c r="B11" i="47"/>
  <c r="B10" i="47"/>
  <c r="B9" i="47"/>
  <c r="B13" i="46"/>
  <c r="B16" i="46"/>
  <c r="B15" i="46"/>
  <c r="B14" i="46"/>
  <c r="B12" i="46"/>
  <c r="B11" i="46"/>
  <c r="B10" i="46"/>
  <c r="B9" i="46"/>
  <c r="C26" i="45"/>
  <c r="B32" i="45"/>
  <c r="B28" i="45"/>
  <c r="B10" i="45"/>
  <c r="C32" i="45"/>
  <c r="B29" i="45"/>
  <c r="B16" i="45"/>
  <c r="B18" i="45"/>
  <c r="B17" i="45"/>
  <c r="B13" i="45"/>
  <c r="B14" i="45"/>
  <c r="B19" i="45"/>
  <c r="B20" i="45"/>
  <c r="B21" i="45"/>
  <c r="B11" i="45"/>
  <c r="B12" i="45"/>
  <c r="B15" i="45"/>
  <c r="B9" i="45"/>
  <c r="B26" i="45" s="1"/>
  <c r="C28" i="45"/>
  <c r="B17" i="26"/>
  <c r="B16" i="26"/>
  <c r="B15" i="26"/>
  <c r="B14" i="26"/>
  <c r="B13" i="26"/>
  <c r="B12" i="26"/>
  <c r="B11" i="26"/>
  <c r="B10" i="26"/>
  <c r="B9" i="26"/>
  <c r="B8" i="26"/>
  <c r="C13" i="26"/>
  <c r="C18" i="26"/>
  <c r="C17" i="26"/>
  <c r="C16" i="26"/>
  <c r="C15" i="26"/>
  <c r="C12" i="26"/>
  <c r="C11" i="26"/>
  <c r="C10" i="26"/>
  <c r="C9" i="26"/>
  <c r="C8" i="26"/>
  <c r="B10" i="25"/>
  <c r="B21" i="25"/>
  <c r="B20" i="25"/>
  <c r="B19" i="25"/>
  <c r="B18" i="25"/>
  <c r="B17" i="25"/>
  <c r="B16" i="25"/>
  <c r="B11" i="25"/>
  <c r="B9" i="25"/>
  <c r="B13" i="25" s="1"/>
  <c r="B12" i="25"/>
  <c r="B15" i="47" l="1"/>
  <c r="C19" i="26"/>
  <c r="B19" i="26"/>
  <c r="B34" i="30"/>
  <c r="C25" i="47"/>
  <c r="B23" i="47"/>
  <c r="B25" i="47" s="1"/>
  <c r="B30" i="45"/>
  <c r="B33" i="45" s="1"/>
  <c r="C30" i="45"/>
  <c r="C33" i="45" s="1"/>
  <c r="E24" i="17"/>
  <c r="D22" i="17"/>
  <c r="F22" i="17" s="1"/>
  <c r="F24" i="17" s="1"/>
  <c r="D20" i="17"/>
  <c r="C21" i="17"/>
  <c r="O12" i="17"/>
  <c r="O13" i="17"/>
  <c r="O15" i="17" s="1"/>
  <c r="O11" i="17"/>
  <c r="G11" i="17"/>
  <c r="G14" i="17" s="1"/>
  <c r="B14" i="16"/>
  <c r="B17" i="15"/>
  <c r="B12" i="15"/>
  <c r="C10" i="15"/>
  <c r="B14" i="43"/>
  <c r="B13" i="43"/>
  <c r="B11" i="43"/>
  <c r="B10" i="43"/>
  <c r="B15" i="43" s="1"/>
  <c r="C25" i="43"/>
  <c r="C18" i="43"/>
  <c r="C19" i="43" s="1"/>
  <c r="C12" i="43"/>
  <c r="C10" i="43"/>
  <c r="C15" i="43" s="1"/>
  <c r="C14" i="43"/>
  <c r="C13" i="43"/>
  <c r="C11" i="43"/>
  <c r="B45" i="42"/>
  <c r="B44" i="42"/>
  <c r="B34" i="42"/>
  <c r="B30" i="42"/>
  <c r="C59" i="42"/>
  <c r="B46" i="42"/>
  <c r="B49" i="42"/>
  <c r="B48" i="42"/>
  <c r="B47" i="42"/>
  <c r="B43" i="42"/>
  <c r="B42" i="42"/>
  <c r="B40" i="42"/>
  <c r="B39" i="42"/>
  <c r="B41" i="42"/>
  <c r="B38" i="42"/>
  <c r="B37" i="42"/>
  <c r="B36" i="42"/>
  <c r="B35" i="42"/>
  <c r="B33" i="42"/>
  <c r="B32" i="42"/>
  <c r="B31" i="42"/>
  <c r="B29" i="42"/>
  <c r="B28" i="42"/>
  <c r="B27" i="42"/>
  <c r="B26" i="42"/>
  <c r="B25" i="42"/>
  <c r="B24" i="42"/>
  <c r="B23" i="42"/>
  <c r="B22" i="42"/>
  <c r="B21" i="42"/>
  <c r="B19" i="42"/>
  <c r="B20" i="42"/>
  <c r="B18" i="42"/>
  <c r="B17" i="42"/>
  <c r="B16" i="42"/>
  <c r="B15" i="42"/>
  <c r="B14" i="42"/>
  <c r="B13" i="42"/>
  <c r="B12" i="42"/>
  <c r="B11" i="42"/>
  <c r="B10" i="42"/>
  <c r="B59" i="42" s="1"/>
  <c r="B9" i="42"/>
  <c r="B10" i="12"/>
  <c r="B9" i="12"/>
  <c r="F7" i="11"/>
  <c r="B7" i="11"/>
  <c r="AK94" i="48"/>
  <c r="AK114" i="48" s="1"/>
  <c r="AD94" i="48"/>
  <c r="R94" i="48"/>
  <c r="N94" i="48"/>
  <c r="I1018" i="49"/>
  <c r="I1665" i="49"/>
  <c r="C22" i="26"/>
  <c r="F39" i="30"/>
  <c r="B45" i="30" l="1"/>
  <c r="B36" i="30"/>
  <c r="B37" i="30" s="1"/>
  <c r="B39" i="30" s="1"/>
  <c r="C20" i="17"/>
  <c r="C24" i="17" s="1"/>
  <c r="F35" i="52" l="1"/>
  <c r="D55" i="52"/>
  <c r="E55" i="52"/>
  <c r="C9" i="24"/>
  <c r="B12" i="30"/>
  <c r="C12" i="30" s="1"/>
  <c r="C15" i="30" s="1"/>
  <c r="C24" i="43"/>
  <c r="B24" i="43"/>
  <c r="B15" i="30" l="1"/>
  <c r="B18" i="30" s="1"/>
  <c r="B21" i="30" s="1"/>
  <c r="B55" i="52"/>
  <c r="F46" i="52"/>
  <c r="G35" i="52"/>
  <c r="F38" i="52"/>
  <c r="C10" i="24"/>
  <c r="C11" i="24" s="1"/>
  <c r="B22" i="25"/>
  <c r="B14" i="15"/>
  <c r="C13" i="24" l="1"/>
  <c r="C14" i="24" s="1"/>
  <c r="F39" i="52"/>
  <c r="G38" i="52"/>
  <c r="G46" i="52"/>
  <c r="F48" i="52"/>
  <c r="C48" i="52" s="1"/>
  <c r="C53" i="52" s="1"/>
  <c r="C18" i="30"/>
  <c r="C21" i="30" s="1"/>
  <c r="C15" i="24" l="1"/>
  <c r="F50" i="52"/>
  <c r="G50" i="52" s="1"/>
  <c r="G39" i="52"/>
  <c r="G42" i="52" s="1"/>
  <c r="F40" i="52"/>
  <c r="D40" i="52" s="1"/>
  <c r="D42" i="52" s="1"/>
  <c r="C55" i="52"/>
  <c r="F49" i="52"/>
  <c r="G49" i="52" s="1"/>
  <c r="G53" i="52" l="1"/>
  <c r="F51" i="52"/>
  <c r="D51" i="52" s="1"/>
  <c r="D53" i="52" s="1"/>
  <c r="G55" i="52"/>
  <c r="I40" i="52"/>
  <c r="E29" i="21"/>
  <c r="F12" i="21"/>
  <c r="E36" i="19"/>
  <c r="D36" i="19"/>
  <c r="B36" i="19"/>
  <c r="F16" i="19"/>
  <c r="C16" i="19" l="1"/>
  <c r="D16" i="19"/>
  <c r="E16" i="19" l="1"/>
  <c r="C28" i="47" l="1"/>
  <c r="C20" i="46"/>
  <c r="B17" i="46" l="1"/>
  <c r="B12" i="31"/>
  <c r="B46" i="30"/>
  <c r="B47" i="30"/>
  <c r="C47" i="30" s="1"/>
  <c r="C45" i="30"/>
  <c r="C37" i="45"/>
  <c r="C46" i="30" l="1"/>
  <c r="B48" i="30"/>
  <c r="B51" i="30" s="1"/>
  <c r="B54" i="30" s="1"/>
  <c r="C48" i="30"/>
  <c r="C51" i="30" s="1"/>
  <c r="C54" i="30" s="1"/>
  <c r="D24" i="17" l="1"/>
  <c r="D49" i="17"/>
  <c r="E49" i="17"/>
  <c r="B20" i="46"/>
  <c r="C62" i="42"/>
  <c r="B62" i="42"/>
  <c r="B28" i="47"/>
  <c r="B37" i="45" l="1"/>
  <c r="B10" i="22" l="1"/>
  <c r="B9" i="22"/>
  <c r="B9" i="15"/>
  <c r="L24" i="17" l="1"/>
  <c r="B15" i="12"/>
  <c r="B25" i="43" l="1"/>
  <c r="H29" i="21"/>
  <c r="E12" i="21"/>
  <c r="B77" i="30" l="1"/>
  <c r="B79" i="30"/>
  <c r="B80" i="30" l="1"/>
  <c r="B61" i="30"/>
  <c r="C61" i="30" s="1"/>
  <c r="B60" i="30"/>
  <c r="C60" i="30" s="1"/>
  <c r="B62" i="30" l="1"/>
  <c r="B65" i="30" s="1"/>
  <c r="B68" i="30" s="1"/>
  <c r="C59" i="30"/>
  <c r="C62" i="30" s="1"/>
  <c r="C65" i="30" s="1"/>
  <c r="C68" i="30" s="1"/>
  <c r="E50" i="17"/>
  <c r="D40" i="17"/>
  <c r="E40" i="17" s="1"/>
  <c r="B31" i="17" s="1"/>
  <c r="D38" i="17"/>
  <c r="D42" i="17" l="1"/>
  <c r="D50" i="17"/>
  <c r="C23" i="29" l="1"/>
  <c r="B12" i="29" l="1"/>
  <c r="B22" i="26"/>
  <c r="C26" i="25"/>
  <c r="C15" i="22"/>
  <c r="C14" i="22"/>
  <c r="L14" i="17"/>
  <c r="E39" i="17"/>
  <c r="E38" i="17"/>
  <c r="C19" i="16"/>
  <c r="C24" i="15"/>
  <c r="C23" i="15"/>
  <c r="B10" i="15"/>
  <c r="E42" i="17" l="1"/>
  <c r="B16" i="16"/>
  <c r="B11" i="22"/>
  <c r="B19" i="29"/>
  <c r="C42" i="17"/>
  <c r="C15" i="12"/>
  <c r="B23" i="25" l="1"/>
  <c r="B11" i="12"/>
  <c r="B26" i="25"/>
  <c r="K14" i="17" l="1"/>
  <c r="B23" i="29"/>
  <c r="B24" i="15" l="1"/>
  <c r="B14" i="22"/>
  <c r="B23" i="15"/>
  <c r="B19" i="16"/>
  <c r="B15" i="22" l="1"/>
  <c r="B9" i="24" l="1"/>
  <c r="B10" i="24" s="1"/>
  <c r="B11" i="24" l="1"/>
  <c r="B14" i="24" l="1"/>
  <c r="B13" i="24"/>
  <c r="B15" i="24" l="1"/>
</calcChain>
</file>

<file path=xl/comments1.xml><?xml version="1.0" encoding="utf-8"?>
<comments xmlns="http://schemas.openxmlformats.org/spreadsheetml/2006/main">
  <authors>
    <author>Sandra Cristina Rodrigues Ribeiro Bertozzi</author>
  </authors>
  <commentList>
    <comment ref="C23" authorId="0" shapeId="0">
      <text>
        <r>
          <rPr>
            <b/>
            <sz val="9"/>
            <color indexed="81"/>
            <rFont val="Segoe UI"/>
            <family val="2"/>
          </rPr>
          <t xml:space="preserve">AJUSTE DE AUDITORIA
</t>
        </r>
        <r>
          <rPr>
            <sz val="9"/>
            <color indexed="81"/>
            <rFont val="Segoe UI"/>
            <family val="2"/>
          </rPr>
          <t xml:space="preserve">
</t>
        </r>
      </text>
    </comment>
  </commentList>
</comments>
</file>

<file path=xl/sharedStrings.xml><?xml version="1.0" encoding="utf-8"?>
<sst xmlns="http://schemas.openxmlformats.org/spreadsheetml/2006/main" count="10477" uniqueCount="5023">
  <si>
    <t>(Em milhares de reais)</t>
  </si>
  <si>
    <t>Ativo</t>
  </si>
  <si>
    <t>Circulante</t>
  </si>
  <si>
    <t xml:space="preserve"> </t>
  </si>
  <si>
    <t>-</t>
  </si>
  <si>
    <t>Estoque</t>
  </si>
  <si>
    <t>Tributos diferidos</t>
  </si>
  <si>
    <t xml:space="preserve">Nota </t>
  </si>
  <si>
    <t>Caixa e equivalentes caixa</t>
  </si>
  <si>
    <t>Não circulante</t>
  </si>
  <si>
    <t>Investimentos</t>
  </si>
  <si>
    <t>Imobilizado</t>
  </si>
  <si>
    <t>Intangível</t>
  </si>
  <si>
    <t>Total do ativo</t>
  </si>
  <si>
    <t>Passivo</t>
  </si>
  <si>
    <t>Reserva de lucros</t>
  </si>
  <si>
    <t>Impostos e contribuições sociais</t>
  </si>
  <si>
    <t>Outras contas a pagar</t>
  </si>
  <si>
    <t>Uso do bem público - CESAP</t>
  </si>
  <si>
    <t>Partes relacionadas</t>
  </si>
  <si>
    <t>Patrimônio líquido</t>
  </si>
  <si>
    <t>Lucro bruto</t>
  </si>
  <si>
    <t>Despesas gerais e administrativas</t>
  </si>
  <si>
    <t>Resultado antes das receitas (despesas) financeiras líquidas e impostos</t>
  </si>
  <si>
    <t>Resultado antes dos impostos</t>
  </si>
  <si>
    <t>Impostos diferidos</t>
  </si>
  <si>
    <t>Lucro líquido do exercício</t>
  </si>
  <si>
    <t>Receita operacional líquida</t>
  </si>
  <si>
    <t>Custos operacionais</t>
  </si>
  <si>
    <t>Despesas operacionais</t>
  </si>
  <si>
    <t>Resultado de equivalência patrimonial</t>
  </si>
  <si>
    <t>Receitas financeiras</t>
  </si>
  <si>
    <t>Despesas financeira</t>
  </si>
  <si>
    <t>Resultado financeiro líquido</t>
  </si>
  <si>
    <t>Contribuição social</t>
  </si>
  <si>
    <t>Imposto de renda</t>
  </si>
  <si>
    <t>Resultado abrangente total</t>
  </si>
  <si>
    <t>Capital Social</t>
  </si>
  <si>
    <t>Reserva Legal</t>
  </si>
  <si>
    <t>Lucros Retidos</t>
  </si>
  <si>
    <t>Lucros acumulado</t>
  </si>
  <si>
    <t>Total</t>
  </si>
  <si>
    <t>Saldo em 31 de dezembro de 2017</t>
  </si>
  <si>
    <t>Saldos em 31 de dezembro de 2016</t>
  </si>
  <si>
    <t>Destinação do lucro líquido do exercício:</t>
  </si>
  <si>
    <t>Fluxos de caixa das atividades operacionais</t>
  </si>
  <si>
    <t>Ajustes para conciliar o resultado às disponibilidades geradas</t>
  </si>
  <si>
    <t>Variações patrimoniais</t>
  </si>
  <si>
    <t>Redução (aumento) nos demais ativos circulantes e não circulantes</t>
  </si>
  <si>
    <t>(Redução) aumento nos demais passivos circulantes e não circulantes</t>
  </si>
  <si>
    <t>Caixa oriundo das operações</t>
  </si>
  <si>
    <t>Total das disponibilidades líquidas geradas pelas atividades operacionais</t>
  </si>
  <si>
    <t>Fluxos de caixa das atividades de investimentos</t>
  </si>
  <si>
    <t>Outros</t>
  </si>
  <si>
    <t>Fluxos de caixa das atividades de financiamentos</t>
  </si>
  <si>
    <t>Dividendos pagos</t>
  </si>
  <si>
    <t>Juros sobre capital próprio</t>
  </si>
  <si>
    <t>Caixa líquido utilizado nas atividades de financiamentos</t>
  </si>
  <si>
    <t>Caixa líquido gerado pelas atividades operacionais, de investimentos e de financiamentos</t>
  </si>
  <si>
    <t>No fim do exercício</t>
  </si>
  <si>
    <t>No início do exercício</t>
  </si>
  <si>
    <t>A variação líquida de caixa é assim demonstrada</t>
  </si>
  <si>
    <t>Disponibilidades</t>
  </si>
  <si>
    <t>Aumento de caixa e equivalente de caixa</t>
  </si>
  <si>
    <t>Venda de energia e serviços</t>
  </si>
  <si>
    <t>Outros resultados</t>
  </si>
  <si>
    <t>(-) Insumos adquiridos de terceiros</t>
  </si>
  <si>
    <t>Insumos consumidos - custos energia comprada</t>
  </si>
  <si>
    <t>Material e serviços de terceiros</t>
  </si>
  <si>
    <t>Valor adicionado bruto</t>
  </si>
  <si>
    <t>(=) Valor adicionado líquido</t>
  </si>
  <si>
    <t>(+) Valor adicionado transferido</t>
  </si>
  <si>
    <t>Resultado da equivalência patrimonial</t>
  </si>
  <si>
    <t>Valor adicional total a distribuir</t>
  </si>
  <si>
    <t>Distribuição do valor adicionado</t>
  </si>
  <si>
    <t>Pessoal</t>
  </si>
  <si>
    <t>Governo</t>
  </si>
  <si>
    <t>Acionistas</t>
  </si>
  <si>
    <t>Baesa - Energética Barra Grande S.A.(*)</t>
  </si>
  <si>
    <t>SEFAC - Serra do Facão Energia S.A. (***)</t>
  </si>
  <si>
    <t>Empresa de Transmissão do Alto Uruguai S.A. - ETAU (**)</t>
  </si>
  <si>
    <t>Consórcio Empresarial Salto do Pilão - CESAP</t>
  </si>
  <si>
    <t xml:space="preserve">(*) Sociedade de Propósito Específico detentora da concessão da UHE Barra Grande. </t>
  </si>
  <si>
    <t>(***) Sociedade de Propósito Específico detentora da concessão da UHE Serra do Facão.</t>
  </si>
  <si>
    <t xml:space="preserve">                                                          Sociedades/Consórcios </t>
  </si>
  <si>
    <t>Participação %</t>
  </si>
  <si>
    <r>
      <rPr>
        <sz val="9"/>
        <color theme="1"/>
        <rFont val="Arial"/>
        <family val="2"/>
      </rPr>
      <t>(**) Sociedade de Propósito Específico detentora da concessão da Linha de Transmissão 
230kV Campos Novos, Barra Grande, Lagoa Vermelha e Santa Maria.</t>
    </r>
    <r>
      <rPr>
        <sz val="9"/>
        <color theme="1"/>
        <rFont val="Calibri"/>
        <family val="2"/>
        <scheme val="minor"/>
      </rPr>
      <t xml:space="preserve">
</t>
    </r>
  </si>
  <si>
    <t>Usina</t>
  </si>
  <si>
    <t>Potência (MW)</t>
  </si>
  <si>
    <t>Regime de exploração</t>
  </si>
  <si>
    <t>Tipo de geração</t>
  </si>
  <si>
    <t>% Participação</t>
  </si>
  <si>
    <t>Participação DMEE (MW)</t>
  </si>
  <si>
    <t>Município</t>
  </si>
  <si>
    <t>Fase</t>
  </si>
  <si>
    <t>UHE Pedro Affonso Junqueira (UHE Antas I)</t>
  </si>
  <si>
    <t xml:space="preserve">Salto Pilão (CESAP) </t>
  </si>
  <si>
    <t>PCH Padre Carlos (Rolador)</t>
  </si>
  <si>
    <t>Cotas</t>
  </si>
  <si>
    <t>PIE</t>
  </si>
  <si>
    <t>UHE</t>
  </si>
  <si>
    <t>PCH</t>
  </si>
  <si>
    <t>Poços de Caldas - MG</t>
  </si>
  <si>
    <t>Apiúna - SC, Ibirama - SC e Lontras - SC</t>
  </si>
  <si>
    <t>Operação</t>
  </si>
  <si>
    <t>Notas explicativas às demonstrações financeiras --Continuação</t>
  </si>
  <si>
    <t>Caixa e bancos</t>
  </si>
  <si>
    <t>Aplicações financeiras - CDB pré-fixado</t>
  </si>
  <si>
    <t>4. Caixa e equivalentes de caixa</t>
  </si>
  <si>
    <t>5. Contas a receber</t>
  </si>
  <si>
    <t>IBS Comerciallizadora Ltda</t>
  </si>
  <si>
    <t>Brasil Comercializadora de Energia S/A</t>
  </si>
  <si>
    <t>Eletropaulo Metropolitana Eletr.  De São Paulo</t>
  </si>
  <si>
    <t>Solenergias Comercializadora de Energia S/A</t>
  </si>
  <si>
    <t>Copel Distribuição S/A</t>
  </si>
  <si>
    <t>Light Serviços de Eletricidade S/A</t>
  </si>
  <si>
    <t>COELBA – Cia. Eletricidade do Estado da Bahia</t>
  </si>
  <si>
    <t>CELPA – Centrais Eletricas do Pará S/A</t>
  </si>
  <si>
    <t>CELPE – Cia Energética de Pernambuco</t>
  </si>
  <si>
    <t>Elektro Redes S/A</t>
  </si>
  <si>
    <t>COELCE – Cia. Energética do Ceará</t>
  </si>
  <si>
    <t>Ampla Energia e Serviços S/A</t>
  </si>
  <si>
    <t>Apuração Regime de Cotas de Garantia – Antas I</t>
  </si>
  <si>
    <t>CEMIG Distribuição S/A</t>
  </si>
  <si>
    <t>CEPISA – Cia Energética do Piauí</t>
  </si>
  <si>
    <t>COSERN – Cia. Energética do Rio Grande do Norte</t>
  </si>
  <si>
    <t>CELG Distribuição S/A</t>
  </si>
  <si>
    <t>Energética Comercializadora Energia</t>
  </si>
  <si>
    <t>Companhia de Eletricidade do Amapá</t>
  </si>
  <si>
    <t>Comerc.Com. Energia Elétrica Ltda</t>
  </si>
  <si>
    <t>Companhia Estadual de Distribuição de Energia</t>
  </si>
  <si>
    <t>Energisa Mato Grosso do Sul S/A</t>
  </si>
  <si>
    <t>CEMAR – Cia. Energética do Maranhão</t>
  </si>
  <si>
    <t>Companhia Paulista de Força e Luz</t>
  </si>
  <si>
    <t>Energisa Paraíba Distrib. Energia S/A</t>
  </si>
  <si>
    <t>Energisa Sergipe Distrib. Energia S/A</t>
  </si>
  <si>
    <t>CEAL – Cia. Energética de Alagoas</t>
  </si>
  <si>
    <t>Energisa Borborema Distrib. Energia S/A</t>
  </si>
  <si>
    <t>Boven Comercializadora Energia Ltda</t>
  </si>
  <si>
    <t>6. Outros créditos</t>
  </si>
  <si>
    <t>Circulante:</t>
  </si>
  <si>
    <t>Dividendos a receber de coligada</t>
  </si>
  <si>
    <t>Não circulante:</t>
  </si>
  <si>
    <t>7. Partes relacionadas</t>
  </si>
  <si>
    <t>Passivo circulante:</t>
  </si>
  <si>
    <t>Barra Grande Energia S.A. (a)</t>
  </si>
  <si>
    <t>Passivo não circulante:</t>
  </si>
  <si>
    <t>P&amp;D - pesquisa e desenvolv. - CESAP</t>
  </si>
  <si>
    <t xml:space="preserve">Aquisição unidade de conservação - CESAP </t>
  </si>
  <si>
    <t>Custo:</t>
  </si>
  <si>
    <t>8. Investimentos</t>
  </si>
  <si>
    <t>a) Composição dos investimentos</t>
  </si>
  <si>
    <t>Participações Societárias Permanente</t>
  </si>
  <si>
    <t xml:space="preserve">Baesa - Barra Grande Energia S.A. </t>
  </si>
  <si>
    <t>Sefac - Serra do Facão Energia S.A.</t>
  </si>
  <si>
    <t xml:space="preserve">Etau - Empresa de Transmissão do Alto Uruguai S.A. </t>
  </si>
  <si>
    <t>Em milhares de reais</t>
  </si>
  <si>
    <t>Participação%</t>
  </si>
  <si>
    <t>Quantidade de ações</t>
  </si>
  <si>
    <t>Patrimonio líquido</t>
  </si>
  <si>
    <t>Lucro (prejuízo)</t>
  </si>
  <si>
    <t>Baesa - Energética Barra Grande S.A.</t>
  </si>
  <si>
    <t>SEFAC - Serra do Facão Energia S.A.</t>
  </si>
  <si>
    <t>Empresa de Transmissão do Alto Uruguai S.A. - ETAU</t>
  </si>
  <si>
    <t>b) Dados sobre as participações societárias avaliadas por equivalência patrimonial</t>
  </si>
  <si>
    <t>As movimentações estão apresentadas a seguir:</t>
  </si>
  <si>
    <t>Saldos 2016</t>
  </si>
  <si>
    <t>Equivalência patrimonial</t>
  </si>
  <si>
    <t>Dividendos 2017</t>
  </si>
  <si>
    <t>Saldo 2017</t>
  </si>
  <si>
    <t>Baesa</t>
  </si>
  <si>
    <t>SEFAC</t>
  </si>
  <si>
    <t>ETAU</t>
  </si>
  <si>
    <t>Saldos 2017</t>
  </si>
  <si>
    <t>Dividendos 2018</t>
  </si>
  <si>
    <t>Saldo 2018</t>
  </si>
  <si>
    <t>Líquido</t>
  </si>
  <si>
    <t>Terrenos</t>
  </si>
  <si>
    <t>n.a.</t>
  </si>
  <si>
    <t>Edificações, obras civis e benfeitorias</t>
  </si>
  <si>
    <t>Máquinas e equipamentos</t>
  </si>
  <si>
    <t>Reservatórios, barragens e adutoras</t>
  </si>
  <si>
    <t>Veículos</t>
  </si>
  <si>
    <t>Móveis e utensílios</t>
  </si>
  <si>
    <t>Sistema de Transmissão e Conexão</t>
  </si>
  <si>
    <t>Total do imobilizado em serviço</t>
  </si>
  <si>
    <t>Imobilizado em curso</t>
  </si>
  <si>
    <t>Total do imobilizado em curso</t>
  </si>
  <si>
    <t>Geração</t>
  </si>
  <si>
    <t>Administração</t>
  </si>
  <si>
    <t>Ativo imobilizado em curso</t>
  </si>
  <si>
    <t>Adições</t>
  </si>
  <si>
    <t>Baixas</t>
  </si>
  <si>
    <t>Transferências</t>
  </si>
  <si>
    <t>Liquido</t>
  </si>
  <si>
    <t>Software</t>
  </si>
  <si>
    <t>Amortização</t>
  </si>
  <si>
    <t>UHE Salto Pilão</t>
  </si>
  <si>
    <t>UBP - Salto Pilão</t>
  </si>
  <si>
    <t>PCH Padre Carlos</t>
  </si>
  <si>
    <t>11. Uso do bem público (CESAP)</t>
  </si>
  <si>
    <t>UBP - CESAP (Passivo Circulante)</t>
  </si>
  <si>
    <t>UBP - CESAP (Passivo Não Circulante)</t>
  </si>
  <si>
    <t>12. Patrimônio líquido</t>
  </si>
  <si>
    <t>(-) Reserva legal</t>
  </si>
  <si>
    <t>Base de cálculo</t>
  </si>
  <si>
    <t>Dividendos mínimos obrigatórios (25%)</t>
  </si>
  <si>
    <t>Dividendos adicionais estatutários (25%)</t>
  </si>
  <si>
    <t>Dividendos</t>
  </si>
  <si>
    <t>13. Receita operacional líquida</t>
  </si>
  <si>
    <t>Suprimento de energia elétrica</t>
  </si>
  <si>
    <t>Comercialização de energia</t>
  </si>
  <si>
    <t>Energia Elétrica de Curto Prazo - CCEE</t>
  </si>
  <si>
    <t>Usina Antas I - Regime de Cotas</t>
  </si>
  <si>
    <t>Deduções da receita operacional</t>
  </si>
  <si>
    <t>PIS/Pasep</t>
  </si>
  <si>
    <t>COFINS</t>
  </si>
  <si>
    <t>Encargos do consumidor - P&amp;D</t>
  </si>
  <si>
    <t>Taxa de Fiscalização ANEEL</t>
  </si>
  <si>
    <t>ICMS - Comercialização com Terceiros</t>
  </si>
  <si>
    <t>Compensação Financeira Recursos Hídricos</t>
  </si>
  <si>
    <t>Material</t>
  </si>
  <si>
    <t>BAESA - Barra Grande Energia S.A.</t>
  </si>
  <si>
    <t>Brasil Comercializadora Energia S/A</t>
  </si>
  <si>
    <t>CCEE – risco hidrológico</t>
  </si>
  <si>
    <t>Boven Comercializ. Energia Ltda</t>
  </si>
  <si>
    <t>CCEE – Câmara Comercialização de Energia</t>
  </si>
  <si>
    <t>Encargos de Transmissão – RE-TUSD</t>
  </si>
  <si>
    <t>Receita financeira</t>
  </si>
  <si>
    <t>Rendimentos de aplicações financeiras</t>
  </si>
  <si>
    <t>(-) Tributos sobre receita financeira</t>
  </si>
  <si>
    <t>Despesa financeira</t>
  </si>
  <si>
    <t>Encargos financeiros UBP Salto Pilão</t>
  </si>
  <si>
    <t>Uso do bem público - UBP - AVP</t>
  </si>
  <si>
    <t>Outras despesas</t>
  </si>
  <si>
    <t>Atualização financeira – P&amp;D</t>
  </si>
  <si>
    <t>IRPJ</t>
  </si>
  <si>
    <t>CSLL</t>
  </si>
  <si>
    <t>Lucro antes dos tributos</t>
  </si>
  <si>
    <t>Adições temporárias e permanentes</t>
  </si>
  <si>
    <t>Exclusões temporárias e permanentes</t>
  </si>
  <si>
    <t>Alíquota aplicável</t>
  </si>
  <si>
    <t>Despesa com imposto de renda e contribuição social</t>
  </si>
  <si>
    <t>Adicional de 10% conforme previsto pela legislação</t>
  </si>
  <si>
    <t>Total impostos correntes</t>
  </si>
  <si>
    <t>Diferenças temporárias</t>
  </si>
  <si>
    <t>Reversão RTT - amortização UBP</t>
  </si>
  <si>
    <t>Reversão RTT - encargos financeiros UBP</t>
  </si>
  <si>
    <t>Base impostos diferidos</t>
  </si>
  <si>
    <t>Impostos diferidos ativos</t>
  </si>
  <si>
    <t>Total despesa imposto diferido</t>
  </si>
  <si>
    <t>b) A movimentação dos impostos diferidos está apresentada a seguir:</t>
  </si>
  <si>
    <t>Aplicação CESAP</t>
  </si>
  <si>
    <t>Dividendos relativos a resultados acumulados</t>
  </si>
  <si>
    <t xml:space="preserve">  Reserva legal (5%)</t>
  </si>
  <si>
    <t xml:space="preserve">  Dividendo mínimo obrigatório (25%)</t>
  </si>
  <si>
    <t xml:space="preserve">  Transferência para reserva de lucros</t>
  </si>
  <si>
    <t xml:space="preserve">  Outros</t>
  </si>
  <si>
    <t>Demonstração do resultado abrangente</t>
  </si>
  <si>
    <t>Demonstração das mutações do patrimônio líquido</t>
  </si>
  <si>
    <t>Demonstração do fluxo de caixa</t>
  </si>
  <si>
    <t>Demonstração do Valor Adicionado</t>
  </si>
  <si>
    <t>classificacao</t>
  </si>
  <si>
    <t>nomeconta</t>
  </si>
  <si>
    <t>analitica</t>
  </si>
  <si>
    <t>saldoanterior</t>
  </si>
  <si>
    <t>debitos</t>
  </si>
  <si>
    <t>creditos</t>
  </si>
  <si>
    <t>saldofinal</t>
  </si>
  <si>
    <t>1000</t>
  </si>
  <si>
    <t>ATIVO</t>
  </si>
  <si>
    <t>S</t>
  </si>
  <si>
    <t>1100</t>
  </si>
  <si>
    <t>ATIVO CIRCULANTE</t>
  </si>
  <si>
    <t>1101</t>
  </si>
  <si>
    <t>CAIXA E EQUIVALENTES DE CAIXA</t>
  </si>
  <si>
    <t>1101.1</t>
  </si>
  <si>
    <t>CAIXA</t>
  </si>
  <si>
    <t>1101.1.01</t>
  </si>
  <si>
    <t>NUMERÁRIO</t>
  </si>
  <si>
    <t>1101.1.01.01</t>
  </si>
  <si>
    <t>1101.1.01.01.001</t>
  </si>
  <si>
    <t>1101.1.01.01.001.001</t>
  </si>
  <si>
    <t>A</t>
  </si>
  <si>
    <t>1101.1.02</t>
  </si>
  <si>
    <t>CONTAS BANCÁRIAS À VISTA</t>
  </si>
  <si>
    <t>1101.1.02.01</t>
  </si>
  <si>
    <t>CONTAS BANCÁRIAS A VISTA</t>
  </si>
  <si>
    <t>1101.1.02.01.001</t>
  </si>
  <si>
    <t>1101.1.02.01.001.001</t>
  </si>
  <si>
    <t>BANCO DO BRASIL S/A</t>
  </si>
  <si>
    <t>1101.1.02.01.001.002</t>
  </si>
  <si>
    <t>BANCO BRADESCO S/A C/C 81.192-0 - CCEE</t>
  </si>
  <si>
    <t>1101.1.02.01.001.003</t>
  </si>
  <si>
    <t>CAIXA ECONÔMICA FEDERAL</t>
  </si>
  <si>
    <t>1101.1.02.01.001.005</t>
  </si>
  <si>
    <t>BANCO ITAÚ S/A</t>
  </si>
  <si>
    <t>1101.1.02.01.001.007</t>
  </si>
  <si>
    <t>BANCO BRADESCO C/C 300207-1</t>
  </si>
  <si>
    <t>1101.1.02.01.001.013</t>
  </si>
  <si>
    <t xml:space="preserve">BANCO BRADESCO C/C 600.157-2 -  AGENCIA 0895/8 </t>
  </si>
  <si>
    <t>1101.1.02.01.002</t>
  </si>
  <si>
    <t>UHE SALTO PILÃO</t>
  </si>
  <si>
    <t>1101.1.02.01.002.001</t>
  </si>
  <si>
    <t>CONTAS BANCÁRIAS - UHE SALTO PILÃO</t>
  </si>
  <si>
    <t>1101.1.04</t>
  </si>
  <si>
    <t>FUNDOS DE CAIXA</t>
  </si>
  <si>
    <t>1101.1.04.01.002</t>
  </si>
  <si>
    <t>1101.1.04.01.002.001</t>
  </si>
  <si>
    <t>1101.2</t>
  </si>
  <si>
    <t>EQUIVALENTES DE CAIXA</t>
  </si>
  <si>
    <t>1101.2.01</t>
  </si>
  <si>
    <t>APLICAÇÕES NO MERCADO ABERTO</t>
  </si>
  <si>
    <t>1101.2.01.01</t>
  </si>
  <si>
    <t>1101.2.01.01.001</t>
  </si>
  <si>
    <t>1101.2.01.01.001.001</t>
  </si>
  <si>
    <t>BANCO DO BRASIL - CDB/RDB</t>
  </si>
  <si>
    <t>1101.2.01.01.001.002</t>
  </si>
  <si>
    <t>CAIXA ECONÔMICA FEDERAL - CDB/RDB</t>
  </si>
  <si>
    <t>1101.2.01.01.001.008</t>
  </si>
  <si>
    <t>BANCO MERC. DO BRASIL - CDB/RDB</t>
  </si>
  <si>
    <t>1101.2.01.01.001.009</t>
  </si>
  <si>
    <t>BANCO ITAÚ - PP CURTO PRAZO FICFI</t>
  </si>
  <si>
    <t>1101.2.01.01.001.013</t>
  </si>
  <si>
    <t>BANCO ITAÚ S/A - CDB</t>
  </si>
  <si>
    <t>1101.2.01.01.002</t>
  </si>
  <si>
    <t>1101.2.01.01.002.001</t>
  </si>
  <si>
    <t>APLICAÇÕES FINANCEIRAS - UHE SALTO PILÃO</t>
  </si>
  <si>
    <t>1102</t>
  </si>
  <si>
    <t>CONSUMIDORES</t>
  </si>
  <si>
    <t>1102.9</t>
  </si>
  <si>
    <t>OUTROS</t>
  </si>
  <si>
    <t>1102.9.01</t>
  </si>
  <si>
    <t>1102.9.01.01</t>
  </si>
  <si>
    <t>1102.9.01.01.001</t>
  </si>
  <si>
    <t>SEDE</t>
  </si>
  <si>
    <t>BOVEN COMERCIALIZADORA DE ENERGIA LTDA</t>
  </si>
  <si>
    <t>1103</t>
  </si>
  <si>
    <t>CONCESSIONÁRIAS E PERMISSIONÁRIAS</t>
  </si>
  <si>
    <t>1103.1</t>
  </si>
  <si>
    <t>SUPRIMENTO DE ENERGIA</t>
  </si>
  <si>
    <t>1103.1.01</t>
  </si>
  <si>
    <t>SUPRIMENTO</t>
  </si>
  <si>
    <t>1103.1.01.02</t>
  </si>
  <si>
    <t>PERMISSIONARIOS</t>
  </si>
  <si>
    <t>1103.1.01.02.001</t>
  </si>
  <si>
    <t>1103.1.01.02.001.001</t>
  </si>
  <si>
    <t>AMPLA ENERGIA E SERV. S.A.</t>
  </si>
  <si>
    <t>1103.1.01.02.001.007</t>
  </si>
  <si>
    <t>CEMIG DISTRIBUIÇÃO S.A.</t>
  </si>
  <si>
    <t>1103.1.01.02.001.008</t>
  </si>
  <si>
    <t>CENTRAIS ELÉTRICAS DO PARÁ S.A. - CELPA</t>
  </si>
  <si>
    <t>1103.1.01.02.001.011</t>
  </si>
  <si>
    <t>COMP. DE ELETRICIDADE DO ESTADO DA BAHIA</t>
  </si>
  <si>
    <t>1103.1.01.02.001.014</t>
  </si>
  <si>
    <t>COMP. ENERGÉTICA DE PERNAMBUCO - CELPE</t>
  </si>
  <si>
    <t>1103.1.01.02.001.015</t>
  </si>
  <si>
    <t>COMP. ENERGÉTICA DO CEARÁ</t>
  </si>
  <si>
    <t>1103.1.01.02.001.016</t>
  </si>
  <si>
    <t>COMP. ENERGÉTICA DO MARANHÃO</t>
  </si>
  <si>
    <t>1103.1.01.02.001.018</t>
  </si>
  <si>
    <t>COMP. ENERGÉTICA DO RIO GRANDE DO NORTE</t>
  </si>
  <si>
    <t>1103.1.01.02.001.019</t>
  </si>
  <si>
    <t>COMPANHIA ESTADUAL DE DISTRIBUIÇÃO DE ENERGIA</t>
  </si>
  <si>
    <t>1103.1.01.02.001.020</t>
  </si>
  <si>
    <t>COMPANHIA PAULISTA DE FORÇA E LUZ</t>
  </si>
  <si>
    <t>1103.1.01.02.001.021</t>
  </si>
  <si>
    <t>COPEL DISTRIBUIÇÃO S.A.</t>
  </si>
  <si>
    <t>1103.1.01.02.001.024</t>
  </si>
  <si>
    <t>ELETROPAULO METROPOLITANA ELETR. DE SÃO PAULO</t>
  </si>
  <si>
    <t>1103.1.01.02.001.026</t>
  </si>
  <si>
    <t>ENERGISA BORBOREMA DISTR. DE ENERGIA S.A.</t>
  </si>
  <si>
    <t>1103.1.01.02.001.027</t>
  </si>
  <si>
    <t>ENERGISA PARAÍBA DISTR. DE ENERGIA S.A.</t>
  </si>
  <si>
    <t>1103.1.01.02.001.028</t>
  </si>
  <si>
    <t>ENERGISA SERGIPE DISTR. DE ENERGIA S.A.</t>
  </si>
  <si>
    <t>1103.1.01.02.001.032</t>
  </si>
  <si>
    <t>LIGHT SERVIÇOS DE ELETRICIDADE S.A.</t>
  </si>
  <si>
    <t>1103.1.01.02.001.046</t>
  </si>
  <si>
    <t>CELG DISTRIBUIÇÃO S.A. - CELG-D</t>
  </si>
  <si>
    <t>1103.1.01.02.001.052</t>
  </si>
  <si>
    <t>COMPANHIA DE ELETRICIDADE DO AMAPÁ</t>
  </si>
  <si>
    <t>1103.1.01.02.001.056</t>
  </si>
  <si>
    <t>ENERGISA MATO GROSSO DO SUL S.A.</t>
  </si>
  <si>
    <t>1103.1.01.02.001.058</t>
  </si>
  <si>
    <t>ENERGISA TOCANTINS DISTRIBUIDORA DE ENERGIA S.A.</t>
  </si>
  <si>
    <t>1103.1.01.02.001.060</t>
  </si>
  <si>
    <t>ECEL - ELETRON COMERCIALIZADORA DE ENERGIA LTDA</t>
  </si>
  <si>
    <t>1103.1.01.02.001.078</t>
  </si>
  <si>
    <t>ELEKTRO REDES S.A.</t>
  </si>
  <si>
    <t>1103.1.01.02.001.080</t>
  </si>
  <si>
    <t>EDP ESPÍRITO SANTO DISTRIBUIÇÃO DE ENERGIA S.A.</t>
  </si>
  <si>
    <t>1103.1.01.02.001.081</t>
  </si>
  <si>
    <t>EDP SÃO PAULO DISTRIBUIÇÃO DE ENERGIA S.A.</t>
  </si>
  <si>
    <t>1103.1.01.02.001.093</t>
  </si>
  <si>
    <t>FERRERO DO BRASIL INDUSTRIA DOCEIRA E ALIMENTAR LTDA</t>
  </si>
  <si>
    <t>1103.1.01.03</t>
  </si>
  <si>
    <t>APURAÇÃO POR REGIME DE COTAS E GARANTIA FÍSICA</t>
  </si>
  <si>
    <t>1103.1.01.03.001</t>
  </si>
  <si>
    <t>1103.1.01.03.001.001</t>
  </si>
  <si>
    <t>APURAÇÃO POR REGIME DE COTAS DE GARANTIA FÍSICA</t>
  </si>
  <si>
    <t>1103.3</t>
  </si>
  <si>
    <t>ENERGIA ELÉTRICA DE CURTO PRAZO</t>
  </si>
  <si>
    <t>1103.3.01</t>
  </si>
  <si>
    <t>1103.3.01.01</t>
  </si>
  <si>
    <t>LIQUIDAÇÃO DE ENERGIA ELÉTRICA</t>
  </si>
  <si>
    <t>1103.3.01.01.001</t>
  </si>
  <si>
    <t>1103.3.01.01.001.001</t>
  </si>
  <si>
    <t>CÂMARA DE COM. DE E. ELÉTRICA</t>
  </si>
  <si>
    <t>TRINITY COMERCIALIZADORA DE ENERGIA ELETRICA LTDA</t>
  </si>
  <si>
    <t>1105</t>
  </si>
  <si>
    <t>TRIBUTOS COMPENSÁVEIS</t>
  </si>
  <si>
    <t>1105.1</t>
  </si>
  <si>
    <t>TRIBUTOS FEDERAIS</t>
  </si>
  <si>
    <t>1105.1.01</t>
  </si>
  <si>
    <t>IMPOSTO DE RENDA</t>
  </si>
  <si>
    <t>1105.1.01.01</t>
  </si>
  <si>
    <t>1105.1.01.01.001</t>
  </si>
  <si>
    <t>1105.1.01.01.001.002</t>
  </si>
  <si>
    <t>IRPJ PAGO POR ESTIMATIVA</t>
  </si>
  <si>
    <t>1105.1.02</t>
  </si>
  <si>
    <t>CONTRIBUIÇÃO SOCIAL</t>
  </si>
  <si>
    <t>1105.1.02.01</t>
  </si>
  <si>
    <t>1105.1.02.01.001</t>
  </si>
  <si>
    <t>1105.1.02.01.001.002</t>
  </si>
  <si>
    <t>CSLL PAGA POR ESTIMATIVA</t>
  </si>
  <si>
    <t>1105.1.02.01.001.003</t>
  </si>
  <si>
    <t>CSLL A COMPENSAR - SERVIÇOS PRESTADOS</t>
  </si>
  <si>
    <t>1105.1.03</t>
  </si>
  <si>
    <t>IMPOSTO DE RENDA RETIDO NA FONTE</t>
  </si>
  <si>
    <t>1105.1.03.01</t>
  </si>
  <si>
    <t>1105.1.03.01.001</t>
  </si>
  <si>
    <t>1105.1.03.01.001.001</t>
  </si>
  <si>
    <t>IRRF APLICAÇÕES FINANCEIRAS - CAIXA ECONÔMICA FEDERAL</t>
  </si>
  <si>
    <t>1105.1.03.01.001.004</t>
  </si>
  <si>
    <t>IRRF APLICAÇÕES FINANCEIRAS - ITAÚ</t>
  </si>
  <si>
    <t>1105.1.03.01.001.005</t>
  </si>
  <si>
    <t>1105.1.03.01.001.006</t>
  </si>
  <si>
    <t>IRRF APLICAÇÕES FINANCEIRAS BMB</t>
  </si>
  <si>
    <t>1105.1.03.01.001.008</t>
  </si>
  <si>
    <t>IRRF - SERVIÇOS PRESTADOS</t>
  </si>
  <si>
    <t>1105.1.03.01.002</t>
  </si>
  <si>
    <t>1105.1.03.01.002.001</t>
  </si>
  <si>
    <t>IRRF APLICAÇÕES FINANCEIRAS - UHE SALTO PILÃO</t>
  </si>
  <si>
    <t>1105.1.04</t>
  </si>
  <si>
    <t>PIS</t>
  </si>
  <si>
    <t>1105.1.04.01</t>
  </si>
  <si>
    <t>1105.1.04.01.001</t>
  </si>
  <si>
    <t>1105.1.04.01.001.002</t>
  </si>
  <si>
    <t>PIS A COMPENSAR - SERVIÇOS PRESTADOS</t>
  </si>
  <si>
    <t>1105.1.05</t>
  </si>
  <si>
    <t>1105.1.05.01</t>
  </si>
  <si>
    <t>1105.1.05.01.001</t>
  </si>
  <si>
    <t>1105.1.05.01.001.003</t>
  </si>
  <si>
    <t>COFINS A COMPENSAR - SERVIÇOS PRESTADOS</t>
  </si>
  <si>
    <t>1105.1.99</t>
  </si>
  <si>
    <t>1105.1.99.01</t>
  </si>
  <si>
    <t>1105.1.99.01.001</t>
  </si>
  <si>
    <t>1105.1.99.01.001.001</t>
  </si>
  <si>
    <t>RETENÇÃO S/ VENDA DE ENERGIA (5,85%)</t>
  </si>
  <si>
    <t>1105.1.99.02</t>
  </si>
  <si>
    <t>SALDO A COMPENSAR EXERCÍCIO ANTERIOR</t>
  </si>
  <si>
    <t>1105.1.99.02.001.002</t>
  </si>
  <si>
    <t>TRIBUTOS MUNICIPAIS</t>
  </si>
  <si>
    <t>1107</t>
  </si>
  <si>
    <t>ALMOXARIFADO OPERACIONAL</t>
  </si>
  <si>
    <t>1107.2</t>
  </si>
  <si>
    <t>MATERIAL</t>
  </si>
  <si>
    <t>1107.2.01</t>
  </si>
  <si>
    <t>ALMOXARIFADO DE MANUTENÇÃO E OPERAÇÃO</t>
  </si>
  <si>
    <t>1107.2.01.02</t>
  </si>
  <si>
    <t>ALMOXARIFADO OPERAÇÃO E MANUTENÇÃO USINAS MATRIZ</t>
  </si>
  <si>
    <t>1107.2.01.02.000.001</t>
  </si>
  <si>
    <t>MANUTENÇÃO USINAS MATRIZ</t>
  </si>
  <si>
    <t>1112</t>
  </si>
  <si>
    <t>DESPESAS PAGAS ANTECIPADAMENTE</t>
  </si>
  <si>
    <t>1112.2</t>
  </si>
  <si>
    <t>PRÊMIOS DE SEGUROS</t>
  </si>
  <si>
    <t>1112.2.01</t>
  </si>
  <si>
    <t>1112.2.01.01</t>
  </si>
  <si>
    <t>1112.2.01.01.001</t>
  </si>
  <si>
    <t>1112.2.01.01.001.001</t>
  </si>
  <si>
    <t>SEGURO VEÍCULOS</t>
  </si>
  <si>
    <t>1112.2.01.01.001.003</t>
  </si>
  <si>
    <t>SEGURO DE VIDA DE FUNCIONÁRIOS</t>
  </si>
  <si>
    <t>1112.2.01.01.002</t>
  </si>
  <si>
    <t>1112.2.01.01.002.001</t>
  </si>
  <si>
    <t>PRÊMIOS DE SEGUROS - UHE SALTO PILÃO</t>
  </si>
  <si>
    <t>1119</t>
  </si>
  <si>
    <t>OUTROS ATIVOS CIRCULANTES</t>
  </si>
  <si>
    <t>1119.1</t>
  </si>
  <si>
    <t>CRÉDITOS A RECEBER</t>
  </si>
  <si>
    <t>1119.1.01</t>
  </si>
  <si>
    <t>EMPREGADOS</t>
  </si>
  <si>
    <t>1119.1.01.01</t>
  </si>
  <si>
    <t>1119.1.01.01.001</t>
  </si>
  <si>
    <t>1119.1.01.01.001.001</t>
  </si>
  <si>
    <t>ADIANTAMENTO DE SALÁRIO</t>
  </si>
  <si>
    <t>1119.1.01.01.001.002</t>
  </si>
  <si>
    <t>ADIANTAMENTO DE 13º SALÁRIO</t>
  </si>
  <si>
    <t>1119.1.01.01.001.006</t>
  </si>
  <si>
    <t>VALE ALIMENTAÇÃO</t>
  </si>
  <si>
    <t>1119.1.01.01.001.007</t>
  </si>
  <si>
    <t>VALE REFEIÇÃO</t>
  </si>
  <si>
    <t>1119.1.01.01.001.009</t>
  </si>
  <si>
    <t>VALE TRANSPORTE</t>
  </si>
  <si>
    <t>1119.1.01.01.001.013</t>
  </si>
  <si>
    <t>FÉRIAS FUNCIONÁRIOS</t>
  </si>
  <si>
    <t>1119.1.01.01.001.022</t>
  </si>
  <si>
    <t>IRRF FUNCIONÁRIOS</t>
  </si>
  <si>
    <t>1119.1.01.01.001.032</t>
  </si>
  <si>
    <t>ALUGUÉIS FUNCIONÁRIOS</t>
  </si>
  <si>
    <t>1119.1.02</t>
  </si>
  <si>
    <t>FORNECEDORES</t>
  </si>
  <si>
    <t>1119.1.02.01</t>
  </si>
  <si>
    <t>1119.1.02.01.001</t>
  </si>
  <si>
    <t>1119.1.02.01.001.006</t>
  </si>
  <si>
    <t>AUTO OMNIBUS CIRCULLARE POÇOS DE CALDAS LTDA</t>
  </si>
  <si>
    <t>DME DISTRIBUIÇÃO S.A. - DMED</t>
  </si>
  <si>
    <t>1119.1.02.02</t>
  </si>
  <si>
    <t>SERVIÇO DA DÍVIDA, SEGURO E CPMF</t>
  </si>
  <si>
    <t>1119.1.02.02.002</t>
  </si>
  <si>
    <t>1119.1.02.02.002.001</t>
  </si>
  <si>
    <t>FORNECEDORES (ADIANTAMENTO) - UHE SALTO PILÃO</t>
  </si>
  <si>
    <t>1119.1.99</t>
  </si>
  <si>
    <t>1119.1.99.01</t>
  </si>
  <si>
    <t>OUTROS DEVEDORES</t>
  </si>
  <si>
    <t>1119.1.99.01.001</t>
  </si>
  <si>
    <t>1119.1.99.01.005</t>
  </si>
  <si>
    <t>DIRETORES, CONSELHEROS E ACIONISTAS</t>
  </si>
  <si>
    <t>1119.1.99.01.005.001</t>
  </si>
  <si>
    <t>1119.1.99.01.005.006</t>
  </si>
  <si>
    <t>1119.1.99.01.005.007</t>
  </si>
  <si>
    <t>1119.1.99.01.005.008</t>
  </si>
  <si>
    <t>1200</t>
  </si>
  <si>
    <t>ATIVO NÃO CIRCULANTE</t>
  </si>
  <si>
    <t>1210</t>
  </si>
  <si>
    <t>TRIBUTOS DIFERIDOS</t>
  </si>
  <si>
    <t>1210.1</t>
  </si>
  <si>
    <t>1210.1.02</t>
  </si>
  <si>
    <t>DIFERENÇAS TEMPORÁRIAS</t>
  </si>
  <si>
    <t>1210.1.02.01.001.001</t>
  </si>
  <si>
    <t>1210.2</t>
  </si>
  <si>
    <t>1210.2.02</t>
  </si>
  <si>
    <t>1210.2.02.01.001.001</t>
  </si>
  <si>
    <t>1220</t>
  </si>
  <si>
    <t xml:space="preserve">BENS E ATIVIDADES NÃO VINCULADAS À CONCESSÃO E PERMISSÃO DO </t>
  </si>
  <si>
    <t>1220.1</t>
  </si>
  <si>
    <t>PARTICIPAÇÕES SOCIETÁRIAS PERMANENTES</t>
  </si>
  <si>
    <t>1220.1.01</t>
  </si>
  <si>
    <t>AVALIADAS PELA EQUIVALÊNCIA PATRIMONIAL</t>
  </si>
  <si>
    <t>1220.1.01.01</t>
  </si>
  <si>
    <t>VALOR PATRIMONIAL</t>
  </si>
  <si>
    <t>1220.1.01.01.001</t>
  </si>
  <si>
    <t>1220.1.01.01.001.001</t>
  </si>
  <si>
    <t>BAESA ENERGÉTICA BARRA GRANDE S.A.</t>
  </si>
  <si>
    <t>1220.1.01.01.001.002</t>
  </si>
  <si>
    <t>EMPRESA DE TRANSMISSÃO DO ALTO URUGUAI</t>
  </si>
  <si>
    <t>1220.1.01.01.001.003</t>
  </si>
  <si>
    <t>SERRA DO FACÃO ENERGIA S.A.</t>
  </si>
  <si>
    <t>1220.4</t>
  </si>
  <si>
    <t>PROPRIEDADE PARA INVESTIMENTO - IMOBILIZADO</t>
  </si>
  <si>
    <t>1220.4.01</t>
  </si>
  <si>
    <t>IMOBILIZADO</t>
  </si>
  <si>
    <t>1220.4.01.01</t>
  </si>
  <si>
    <t>TERRENOS</t>
  </si>
  <si>
    <t>1220.4.01.01.001.001</t>
  </si>
  <si>
    <t>1220.4.01.03</t>
  </si>
  <si>
    <t>EDIFICAÇÕES, OBRAS CIVIS E BENFEITORIAS</t>
  </si>
  <si>
    <t>1220.4.01.03.001.001</t>
  </si>
  <si>
    <t>1220.4.02</t>
  </si>
  <si>
    <t>(-) DEPRECIAÇÃO ACUMULADA</t>
  </si>
  <si>
    <t>1220.4.02.03</t>
  </si>
  <si>
    <t>1220.4.02.03.001.001</t>
  </si>
  <si>
    <t>1220.9</t>
  </si>
  <si>
    <t>1220.9.01</t>
  </si>
  <si>
    <t>QUOTA PARTE - PARTICIPAÇÕES EM CONSÓRCIOS</t>
  </si>
  <si>
    <t>1220.9.01.00.000.002</t>
  </si>
  <si>
    <t xml:space="preserve">CONSÓRCIO EMPRESARIAL SALTO PILÃO </t>
  </si>
  <si>
    <t>1232</t>
  </si>
  <si>
    <t>1232.1</t>
  </si>
  <si>
    <t>GERAÇÃO</t>
  </si>
  <si>
    <t>1232.1.01</t>
  </si>
  <si>
    <t>USINAS - IMOBILIZADO EM SERVIÇO</t>
  </si>
  <si>
    <t>1232.1.01.01</t>
  </si>
  <si>
    <t>1232.1.01.01.001</t>
  </si>
  <si>
    <t>PCH PADRE CARLOS</t>
  </si>
  <si>
    <t>1232.1.01.01.001.001</t>
  </si>
  <si>
    <t>1232.1.01.01.002</t>
  </si>
  <si>
    <t>1232.1.01.01.002.002</t>
  </si>
  <si>
    <t>1232.1.01.01.003</t>
  </si>
  <si>
    <t>UHE ANTAS I</t>
  </si>
  <si>
    <t>1232.1.01.01.003.001</t>
  </si>
  <si>
    <t xml:space="preserve">TERRENOS </t>
  </si>
  <si>
    <t>1232.1.01.02</t>
  </si>
  <si>
    <t>RESERVATÓRIOS, BARRAGENS E ADUTORAS</t>
  </si>
  <si>
    <t>1232.1.01.02.001</t>
  </si>
  <si>
    <t>1232.1.01.02.001.001</t>
  </si>
  <si>
    <t>1232.1.01.02.002</t>
  </si>
  <si>
    <t>1232.1.01.02.002.002</t>
  </si>
  <si>
    <t>1232.1.01.02.003</t>
  </si>
  <si>
    <t>1232.1.01.02.003.001</t>
  </si>
  <si>
    <t xml:space="preserve">RESERVATÓRIOS , BARRAGENS E ADUTORAS </t>
  </si>
  <si>
    <t>1232.1.01.02.003.002</t>
  </si>
  <si>
    <t>RESERVATÓRIOS , BARRAGENS E ADUTORAS - INVESTIMENTOS</t>
  </si>
  <si>
    <t>1232.1.01.03</t>
  </si>
  <si>
    <t>1232.1.01.03.001</t>
  </si>
  <si>
    <t>1232.1.01.03.001.001</t>
  </si>
  <si>
    <t>1232.1.01.03.002</t>
  </si>
  <si>
    <t>1232.1.01.03.002.002</t>
  </si>
  <si>
    <t>1232.1.01.03.003</t>
  </si>
  <si>
    <t>1232.1.01.03.003.001</t>
  </si>
  <si>
    <t xml:space="preserve">EDIFICAÇÕES, OBRAS CIVIS E BENFEITORIAS </t>
  </si>
  <si>
    <t>1232.1.01.03.003.002</t>
  </si>
  <si>
    <t>EDIFICAÇÕES, OBRAS CIVIS E BENFEITORIAS - INVESTIMENTOS</t>
  </si>
  <si>
    <t>1232.1.01.04</t>
  </si>
  <si>
    <t>MÁQUINAS E EQUIPAMENTOS</t>
  </si>
  <si>
    <t>1232.1.01.04.001</t>
  </si>
  <si>
    <t>1232.1.01.04.001.001</t>
  </si>
  <si>
    <t>1232.1.01.04.002</t>
  </si>
  <si>
    <t>1232.1.01.04.002.002</t>
  </si>
  <si>
    <t>1232.1.01.04.003</t>
  </si>
  <si>
    <t>1232.1.01.04.003.001</t>
  </si>
  <si>
    <t>1232.1.01.04.003.002</t>
  </si>
  <si>
    <t>MÁQUINAS E EQUIPAMENTOS - INVESTIMENTOS</t>
  </si>
  <si>
    <t>1232.1.01.05</t>
  </si>
  <si>
    <t>VEÍCULOS</t>
  </si>
  <si>
    <t>1232.1.01.05.001</t>
  </si>
  <si>
    <t>1232.1.01.05.001.001</t>
  </si>
  <si>
    <t>1232.1.01.05.002</t>
  </si>
  <si>
    <t>1232.1.01.05.002.002</t>
  </si>
  <si>
    <t>1232.1.01.06</t>
  </si>
  <si>
    <t>MÓVEIS E UTENSÍLIOS</t>
  </si>
  <si>
    <t>1232.1.01.06.001</t>
  </si>
  <si>
    <t>1232.1.01.06.001.001</t>
  </si>
  <si>
    <t>1232.1.01.06.002</t>
  </si>
  <si>
    <t>1232.1.01.06.002.002</t>
  </si>
  <si>
    <t>1232.1.01.06.003</t>
  </si>
  <si>
    <t>1232.1.01.06.003.001</t>
  </si>
  <si>
    <t>1232.1.01.06.003.002</t>
  </si>
  <si>
    <t>MÓVEIS E UTENSÍLIOS - INVESTIMENTOS</t>
  </si>
  <si>
    <t>1232.1.02</t>
  </si>
  <si>
    <t>(-) DEPRECIAÇÃO ACUMULADA - USINAS</t>
  </si>
  <si>
    <t>1232.1.02.02</t>
  </si>
  <si>
    <t>1232.1.02.02.001</t>
  </si>
  <si>
    <t>1232.1.02.02.001.001</t>
  </si>
  <si>
    <t>1232.1.02.02.002</t>
  </si>
  <si>
    <t>1232.1.02.02.002.002</t>
  </si>
  <si>
    <t>1232.1.02.02.003</t>
  </si>
  <si>
    <t>1232.1.02.02.003.001</t>
  </si>
  <si>
    <t>1232.1.02.02.003.002</t>
  </si>
  <si>
    <t>RESERVATÓRIOS, BARRAGENS E ADUTORAS - INVESTIMENTOS</t>
  </si>
  <si>
    <t>1232.1.02.03</t>
  </si>
  <si>
    <t>1232.1.02.03.001</t>
  </si>
  <si>
    <t>1232.1.02.03.001.001</t>
  </si>
  <si>
    <t>1232.1.02.03.002</t>
  </si>
  <si>
    <t>1232.1.02.03.002.002</t>
  </si>
  <si>
    <t>1232.1.02.03.003</t>
  </si>
  <si>
    <t>1232.1.02.03.003.001</t>
  </si>
  <si>
    <t>1232.1.02.03.003.002</t>
  </si>
  <si>
    <t>1232.1.02.04</t>
  </si>
  <si>
    <t>1232.1.02.04.001</t>
  </si>
  <si>
    <t>1232.1.02.04.001.001</t>
  </si>
  <si>
    <t>1232.1.02.04.002</t>
  </si>
  <si>
    <t>1232.1.02.04.002.002</t>
  </si>
  <si>
    <t>1232.1.02.04.003</t>
  </si>
  <si>
    <t>1232.1.02.04.003.001</t>
  </si>
  <si>
    <t>1232.1.02.04.003.002</t>
  </si>
  <si>
    <t>1232.1.02.05</t>
  </si>
  <si>
    <t>1232.1.02.05.001</t>
  </si>
  <si>
    <t>1232.1.02.05.001.001</t>
  </si>
  <si>
    <t>1232.1.02.05.002</t>
  </si>
  <si>
    <t>1232.1.02.05.002.002</t>
  </si>
  <si>
    <t>1232.1.02.06</t>
  </si>
  <si>
    <t>1232.1.02.06.001</t>
  </si>
  <si>
    <t>1232.1.02.06.001.001</t>
  </si>
  <si>
    <t>1232.1.02.06.002</t>
  </si>
  <si>
    <t>1232.1.02.06.002.002</t>
  </si>
  <si>
    <t>1232.1.02.06.003</t>
  </si>
  <si>
    <t>1232.1.02.06.003.001</t>
  </si>
  <si>
    <t>1232.1.02.06.003.002</t>
  </si>
  <si>
    <t>1232.1.03</t>
  </si>
  <si>
    <t>USINAS - IMOBILIZADO EM CURSO</t>
  </si>
  <si>
    <t>1232.1.03.01</t>
  </si>
  <si>
    <t>1232.1.03.01.001</t>
  </si>
  <si>
    <t>1232.1.03.01.001.001</t>
  </si>
  <si>
    <t>1232.1.03.01.001.003</t>
  </si>
  <si>
    <t>(-) TERRENOS</t>
  </si>
  <si>
    <t>1232.1.03.04</t>
  </si>
  <si>
    <t>1232.1.03.04.001</t>
  </si>
  <si>
    <t>1232.1.03.04.001.001</t>
  </si>
  <si>
    <t>1232.1.03.04.001.002</t>
  </si>
  <si>
    <t>MÁQUINAS E EQUIPAMENTOS - ESTAÇÃO HIDROMÉTRICA</t>
  </si>
  <si>
    <t>1232.1.03.04.001.003</t>
  </si>
  <si>
    <t>(-) MÁQUINAS E EQUIPAMENTOS</t>
  </si>
  <si>
    <t>1232.1.03.04.001.004</t>
  </si>
  <si>
    <t>(-)MÁQUINAS E EQUIPAMENTOS - ESTAÇÃO HIDROMÉTRICA</t>
  </si>
  <si>
    <t>1232.1.03.04.003</t>
  </si>
  <si>
    <t>1232.1.03.04.003.001</t>
  </si>
  <si>
    <t>1232.1.03.04.003.002</t>
  </si>
  <si>
    <t>1232.1.03.06</t>
  </si>
  <si>
    <t>1232.1.03.06.001</t>
  </si>
  <si>
    <t>1232.1.03.06.001.001</t>
  </si>
  <si>
    <t>1232.1.03.06.001.002</t>
  </si>
  <si>
    <t xml:space="preserve">(-) MÓVEIS E UTENSÍLIOS </t>
  </si>
  <si>
    <t>1232.1.03.06.003</t>
  </si>
  <si>
    <t>ANTAS I</t>
  </si>
  <si>
    <t>1232.1.03.06.003.001</t>
  </si>
  <si>
    <t>1232.1.03.06.003.002</t>
  </si>
  <si>
    <t>(-) MÓVEIS E UTENSÍLIOS</t>
  </si>
  <si>
    <t>1232.1.03.08</t>
  </si>
  <si>
    <t>DESENVOLVIMENTO DE PROJETOS</t>
  </si>
  <si>
    <t>1232.1.03.08.003</t>
  </si>
  <si>
    <t>ESTUDOS E PROJETOS RIO PARDO E VERDE</t>
  </si>
  <si>
    <t>1232.1.03.08.003.001</t>
  </si>
  <si>
    <t>ESTUDOS E PROJETOS - PCHs RIO PARDO E VERDE</t>
  </si>
  <si>
    <t>1232.1.03.08.003.003</t>
  </si>
  <si>
    <t>PCH BOA VISTA</t>
  </si>
  <si>
    <t>1232.1.03.08.003.004</t>
  </si>
  <si>
    <t>PCH MARAMBAIA</t>
  </si>
  <si>
    <t>1232.1.03.08.003.005</t>
  </si>
  <si>
    <t>CGH FERVEDOR</t>
  </si>
  <si>
    <t>1232.1.03.08.003.006</t>
  </si>
  <si>
    <t>CGH DARCI</t>
  </si>
  <si>
    <t>1232.1.03.08.003.007</t>
  </si>
  <si>
    <t>CGH CURIMBABA</t>
  </si>
  <si>
    <t>1232.1.03.08.006</t>
  </si>
  <si>
    <t>PCHS RIO CAPIVARI</t>
  </si>
  <si>
    <t>1232.1.03.08.006.001</t>
  </si>
  <si>
    <t>ESTUDOS E PROJETOS - PCHS RIO CAPIVARI</t>
  </si>
  <si>
    <t>1232.1.03.08.007</t>
  </si>
  <si>
    <t>ESTAÇÃO SOLARIMÉTRICA</t>
  </si>
  <si>
    <t>1232.1.03.08.007.001</t>
  </si>
  <si>
    <t>ESTUDOS E PROJETOS - ESTAÇÃO SOLARIMÉTRICA</t>
  </si>
  <si>
    <t>1232.1.03.10</t>
  </si>
  <si>
    <t>MATERIAL EM DEPÓSITO</t>
  </si>
  <si>
    <t>1232.1.03.10.001</t>
  </si>
  <si>
    <t>USINAS MATRIZ</t>
  </si>
  <si>
    <t>1232.1.03.10.001.001</t>
  </si>
  <si>
    <t>MATERIAL EM DEPÓSITO - USINAS MATRIZ</t>
  </si>
  <si>
    <t>1232.1.04</t>
  </si>
  <si>
    <t>SISTEMA DE TRANSMISSÃO DE CONEXÃO - IMOBILIZADO EM SERVIÇO</t>
  </si>
  <si>
    <t>1232.1.04.04</t>
  </si>
  <si>
    <t>1232.1.04.04.002</t>
  </si>
  <si>
    <t>1232.1.04.04.002.001</t>
  </si>
  <si>
    <t>1232.1.05</t>
  </si>
  <si>
    <t>(-) DEPRECIAÇÃO ACUMULADA - SISTEMA DE TRANSMISSÃO DE CONEXÃ</t>
  </si>
  <si>
    <t>1232.1.05.04</t>
  </si>
  <si>
    <t>1232.1.05.04.002</t>
  </si>
  <si>
    <t>1232.1.05.04.002.001</t>
  </si>
  <si>
    <t>1232.1.70</t>
  </si>
  <si>
    <t>(-) PROVISÃO PARA REDUÇÃO AO VALOR RECUPERÁVEL</t>
  </si>
  <si>
    <t>1232.1.70.01</t>
  </si>
  <si>
    <t>TERRENOS - UHE ANTAS1</t>
  </si>
  <si>
    <t>1232.1.70.01.003</t>
  </si>
  <si>
    <t>1232.1.70.01.003.001</t>
  </si>
  <si>
    <t>TERRENOS - UHE ANTAS I</t>
  </si>
  <si>
    <t>1232.1.70.02</t>
  </si>
  <si>
    <t>RESERV. BARRAGENS E ADUTORAS - UHE ANTAS I</t>
  </si>
  <si>
    <t>1232.1.70.02.003</t>
  </si>
  <si>
    <t>1232.1.70.02.003.001</t>
  </si>
  <si>
    <t>RESER. BARRAGEN E ADUTORAS - UHE ANTAS I</t>
  </si>
  <si>
    <t>1232.1.70.03</t>
  </si>
  <si>
    <t>EDIFICAÇÕES, OBRAS CIVIS E BENF. - UHE ANTAS I</t>
  </si>
  <si>
    <t>1232.1.70.03.003</t>
  </si>
  <si>
    <t>1232.1.70.03.003.001</t>
  </si>
  <si>
    <t>EDIFICAÇÕES, OBRAS CIVIS E BENFEITORIAS - UHE ANTAS I</t>
  </si>
  <si>
    <t>1232.1.70.04</t>
  </si>
  <si>
    <t>MÁQUINAS E EQUIPAMENTOS - UHE ANTAS I</t>
  </si>
  <si>
    <t>1232.1.70.04.003</t>
  </si>
  <si>
    <t>1232.1.70.04.003.001</t>
  </si>
  <si>
    <t>1232.1.70.06</t>
  </si>
  <si>
    <t xml:space="preserve">MOVEIS E UTENSILIOS </t>
  </si>
  <si>
    <t>1232.1.70.06.003</t>
  </si>
  <si>
    <t>1232.1.70.06.003.001</t>
  </si>
  <si>
    <t>MÓVEIS E UTENSÍLIOS - UHE ANTAS I</t>
  </si>
  <si>
    <t>1232.1.72</t>
  </si>
  <si>
    <t>CONTROLE DE DEPRECIAÇÃO APÓS AJUSTES PELAS RENOVAÇÕES DE CON</t>
  </si>
  <si>
    <t>1232.1.72.02</t>
  </si>
  <si>
    <t>1232.1.72.02.003</t>
  </si>
  <si>
    <t>1232.1.72.02.003.001</t>
  </si>
  <si>
    <t>RESERVATÓRIOS BARRAGENS E ADUTORAS</t>
  </si>
  <si>
    <t>1232.1.72.03</t>
  </si>
  <si>
    <t>1232.1.72.03.003</t>
  </si>
  <si>
    <t>1232.1.72.03.003.001</t>
  </si>
  <si>
    <t>EDIFICAÇÕES OBRAS CIVIS E BENFEITORIAS</t>
  </si>
  <si>
    <t>1232.1.72.04</t>
  </si>
  <si>
    <t>1232.1.72.04.003</t>
  </si>
  <si>
    <t>1232.1.72.04.003.001</t>
  </si>
  <si>
    <t>1232.1.72.06</t>
  </si>
  <si>
    <t>1232.1.72.06.003</t>
  </si>
  <si>
    <t>1232.1.72.06.003.001</t>
  </si>
  <si>
    <t>1232.4</t>
  </si>
  <si>
    <t>ADMINISTRAÇÃO</t>
  </si>
  <si>
    <t>1232.4.01</t>
  </si>
  <si>
    <t>ADMINISTRAÇÃO CENTRAL - IMOBILIZADO EM SERVIÇO</t>
  </si>
  <si>
    <t>1232.4.01.04</t>
  </si>
  <si>
    <t>1232.4.01.04.001</t>
  </si>
  <si>
    <t>1232.4.01.04.001.001</t>
  </si>
  <si>
    <t>1232.4.01.04.001.002</t>
  </si>
  <si>
    <t>COMPUTADORES E PERIFÉRICOS</t>
  </si>
  <si>
    <t>1232.4.01.04.001.003</t>
  </si>
  <si>
    <t>PABX</t>
  </si>
  <si>
    <t>1232.4.01.04.001.004</t>
  </si>
  <si>
    <t>SISTEMA DE INTERLIGAÇÃO REDE LÓGICA</t>
  </si>
  <si>
    <t>1232.4.01.04.001.005</t>
  </si>
  <si>
    <t>EQUIPAMENTOS DE SEGURANÇA</t>
  </si>
  <si>
    <t>1232.4.01.05</t>
  </si>
  <si>
    <t>1232.4.01.05.001</t>
  </si>
  <si>
    <t>1232.4.01.05.001.001</t>
  </si>
  <si>
    <t>1232.4.01.06</t>
  </si>
  <si>
    <t>1232.4.01.06.001</t>
  </si>
  <si>
    <t>1232.4.01.06.001.001</t>
  </si>
  <si>
    <t>1232.4.02</t>
  </si>
  <si>
    <t>(-) DEPRECIAÇÃO ACUMULADA - ADMINISTRAÇÃO CENTRAL</t>
  </si>
  <si>
    <t>1232.4.02.04</t>
  </si>
  <si>
    <t>1232.4.02.04.001</t>
  </si>
  <si>
    <t>1232.4.02.04.001.001</t>
  </si>
  <si>
    <t>1232.4.02.04.001.002</t>
  </si>
  <si>
    <t>1232.4.02.04.001.003</t>
  </si>
  <si>
    <t>1232.4.02.04.001.004</t>
  </si>
  <si>
    <t>1232.4.02.04.001.005</t>
  </si>
  <si>
    <t>1232.4.02.05</t>
  </si>
  <si>
    <t>1232.4.02.05.001</t>
  </si>
  <si>
    <t>1232.4.02.05.001.001</t>
  </si>
  <si>
    <t>1232.4.02.06</t>
  </si>
  <si>
    <t>1232.4.02.06.001</t>
  </si>
  <si>
    <t>1232.4.02.06.001.001</t>
  </si>
  <si>
    <t>1232.4.03</t>
  </si>
  <si>
    <t>ADMINISTRAÇÃO CENTRAL - IMOBILIZADO EM CURSO</t>
  </si>
  <si>
    <t>1232.4.03.04</t>
  </si>
  <si>
    <t>1232.4.03.04.000.001</t>
  </si>
  <si>
    <t>1232.4.03.04.000.002</t>
  </si>
  <si>
    <t>1232.4.03.04.000.003</t>
  </si>
  <si>
    <t xml:space="preserve">(-) MAQUINAS E EQUIPAMENTOS </t>
  </si>
  <si>
    <t>1232.4.03.04.000.004</t>
  </si>
  <si>
    <t>(-) COMPUTADORES E PERIFÉRICOS</t>
  </si>
  <si>
    <t>1232.4.03.06</t>
  </si>
  <si>
    <t>1232.4.03.06.000.001</t>
  </si>
  <si>
    <t>1232.4.03.06.000.002</t>
  </si>
  <si>
    <t>(-) MOVEIS E UTENSÍLIOS</t>
  </si>
  <si>
    <t>1233</t>
  </si>
  <si>
    <t>INTANGÍVEL</t>
  </si>
  <si>
    <t>1233.1</t>
  </si>
  <si>
    <t>1233.1.01</t>
  </si>
  <si>
    <t>USINAS - INTANGÍVEL EM SERVIÇO</t>
  </si>
  <si>
    <t>1233.1.01.02</t>
  </si>
  <si>
    <t>USO DO BEM PÚBLICO</t>
  </si>
  <si>
    <t>1233.1.01.02.002</t>
  </si>
  <si>
    <t>1233.1.01.02.002.001</t>
  </si>
  <si>
    <t>INTANGIVEL - UBP</t>
  </si>
  <si>
    <t>1233.1.01.03</t>
  </si>
  <si>
    <t>SOFTWARES</t>
  </si>
  <si>
    <t>1233.1.01.03.001</t>
  </si>
  <si>
    <t>1233.1.01.03.001.003</t>
  </si>
  <si>
    <t>SOFTWARE</t>
  </si>
  <si>
    <t>1233.1.01.03.002</t>
  </si>
  <si>
    <t>1233.1.01.03.002.002</t>
  </si>
  <si>
    <t>1233.1.01.03.003</t>
  </si>
  <si>
    <t>1233.1.01.03.003.001</t>
  </si>
  <si>
    <t xml:space="preserve">INTANGÍVEIS </t>
  </si>
  <si>
    <t>1233.1.02</t>
  </si>
  <si>
    <t>(-) AMORTIZAÇÃO ACUMULADA - USINAS</t>
  </si>
  <si>
    <t>1233.1.02.02</t>
  </si>
  <si>
    <t>1233.1.02.02.002</t>
  </si>
  <si>
    <t>1233.1.02.02.002.002</t>
  </si>
  <si>
    <t>1233.1.02.03</t>
  </si>
  <si>
    <t>1233.1.02.03.001</t>
  </si>
  <si>
    <t>1233.1.02.03.001.002</t>
  </si>
  <si>
    <t>INTANGÍVEIS</t>
  </si>
  <si>
    <t>1233.1.02.03.002</t>
  </si>
  <si>
    <t>1233.1.02.03.002.001</t>
  </si>
  <si>
    <t>1233.1.02.03.003</t>
  </si>
  <si>
    <t>1233.1.02.03.003.001</t>
  </si>
  <si>
    <t>1233.1.70</t>
  </si>
  <si>
    <t>1233.1.70.99</t>
  </si>
  <si>
    <t>1233.1.70.99.003</t>
  </si>
  <si>
    <t>1233.1.70.99.003.001</t>
  </si>
  <si>
    <t>INTANGÍVEIS -  ANTAS I</t>
  </si>
  <si>
    <t>1233.1.72</t>
  </si>
  <si>
    <t>CONTROLE DE AMORTIZAÇÃO APÓS AJUSTES PELAS RENOVAÇÕES DE CON</t>
  </si>
  <si>
    <t>1233.1.72.99</t>
  </si>
  <si>
    <t>1233.1.72.99.003</t>
  </si>
  <si>
    <t>1233.1.72.99.003.001</t>
  </si>
  <si>
    <t>INTANGÍVEIS - UHE ANTAS I</t>
  </si>
  <si>
    <t>1233.4</t>
  </si>
  <si>
    <t>1233.4.01</t>
  </si>
  <si>
    <t>ADMINISTRAÇÃO CENTRAL - INTANGÍVEL EM SERVIÇO</t>
  </si>
  <si>
    <t>1233.4.01.03</t>
  </si>
  <si>
    <t>1233.4.01.03.001</t>
  </si>
  <si>
    <t>1233.4.01.03.001.001</t>
  </si>
  <si>
    <t>1233.4.02</t>
  </si>
  <si>
    <t>(-) AMORTIZAÇÃO ACUMULADA - ADMINISTRAÇÃO CENTRAL</t>
  </si>
  <si>
    <t>1233.4.02.03</t>
  </si>
  <si>
    <t>1233.4.02.03.001</t>
  </si>
  <si>
    <t>1233.4.02.03.001.001</t>
  </si>
  <si>
    <t>2000</t>
  </si>
  <si>
    <t>PASSIVO</t>
  </si>
  <si>
    <t>2100</t>
  </si>
  <si>
    <t>PASSIVO CIRCULANTE</t>
  </si>
  <si>
    <t>2101</t>
  </si>
  <si>
    <t>2101.1</t>
  </si>
  <si>
    <t>ENCARGOS DE USO DA REDE ELÉTRICA</t>
  </si>
  <si>
    <t>2101.1.01</t>
  </si>
  <si>
    <t>2101.1.01.01</t>
  </si>
  <si>
    <t>SISTEMA DE TRANSMISSÃO/DISTRIBUIÇÃO</t>
  </si>
  <si>
    <t>2101.1.01.01.001</t>
  </si>
  <si>
    <t>2101.1.01.01.001.001</t>
  </si>
  <si>
    <t>2101.1.01.01.002</t>
  </si>
  <si>
    <t>2101.1.01.01.002.001</t>
  </si>
  <si>
    <t>ENCARGOS USO REDE ELÉTRICA UHE SALTO PILÃO</t>
  </si>
  <si>
    <t>2101.3</t>
  </si>
  <si>
    <t>MATERIAIS E SERVIÇOS</t>
  </si>
  <si>
    <t>2101.3.03</t>
  </si>
  <si>
    <t>2101.3.03.01</t>
  </si>
  <si>
    <t>2101.3.03.01.001</t>
  </si>
  <si>
    <t>2101.3.03.01.001.008</t>
  </si>
  <si>
    <t>ARAXÁ AMBIENTAL LTDA</t>
  </si>
  <si>
    <t>2101.3.03.01.001.011</t>
  </si>
  <si>
    <t>AUTO OMNIBUS CIRCULLARE P. CALDAS LTDA</t>
  </si>
  <si>
    <t>2101.3.03.01.001.027</t>
  </si>
  <si>
    <t>ÁGUAS MINERAIS POÇOS DE CALDAS LTDA</t>
  </si>
  <si>
    <t>2101.3.03.01.001.097</t>
  </si>
  <si>
    <t>2101.3.03.01.001.153</t>
  </si>
  <si>
    <t>DMAE DEPTO. MUN. ÁGUA E ESGOTO DE P. DE CALDAS</t>
  </si>
  <si>
    <t>2101.3.03.01.001.154</t>
  </si>
  <si>
    <t>2101.3.03.01.001.181</t>
  </si>
  <si>
    <t>DCIDE LTDA</t>
  </si>
  <si>
    <t>2101.3.03.01.001.546</t>
  </si>
  <si>
    <t>2101.3.03.01.001.604</t>
  </si>
  <si>
    <t>OI MÓVEL S.A.</t>
  </si>
  <si>
    <t>2101.3.03.01.001.607</t>
  </si>
  <si>
    <t>POÇOS DE CALDAS MULTICLINICA LTDA.</t>
  </si>
  <si>
    <t>2101.3.03.01.001.758</t>
  </si>
  <si>
    <t>SEFAZ MG - TAXAS</t>
  </si>
  <si>
    <t>2101.3.03.01.001.813</t>
  </si>
  <si>
    <t>USEALL SOFTWARE LTDA</t>
  </si>
  <si>
    <t>2101.3.03.01.001.916</t>
  </si>
  <si>
    <t>ASSOCIAÇÃO BRASILEIRA DE ENERGIA SOLAR FOTOVOLTAICA - ABSOLA</t>
  </si>
  <si>
    <t>2101.3.03.01.001.918</t>
  </si>
  <si>
    <t>CONSTRUSERV SERVICOS GERAIS LTDA</t>
  </si>
  <si>
    <t>2101.3.03.01.001.932</t>
  </si>
  <si>
    <t>ACE SEGURADORA S/A</t>
  </si>
  <si>
    <t>2101.3.03.01.002</t>
  </si>
  <si>
    <t>2101.3.03.01.002.999</t>
  </si>
  <si>
    <t>FORNECEDORES - UHE SALTO PILÃO</t>
  </si>
  <si>
    <t>2101.4</t>
  </si>
  <si>
    <t>COMPRA DE ENERGIA ELÉTRICA</t>
  </si>
  <si>
    <t>2101.4.01</t>
  </si>
  <si>
    <t>2101.4.01.01</t>
  </si>
  <si>
    <t>2101.4.01.01.001</t>
  </si>
  <si>
    <t>2101.4.01.01.001.001</t>
  </si>
  <si>
    <t>BAESA ENERGÉTICA BARRA GRANDE S/A</t>
  </si>
  <si>
    <t>2101.4.01.01.001.017</t>
  </si>
  <si>
    <t>2103</t>
  </si>
  <si>
    <t>OBRIGAÇÕES SOCIAIS E TRABALHISTAS</t>
  </si>
  <si>
    <t>2103.1</t>
  </si>
  <si>
    <t>FOLHA DE PAGAMENTO</t>
  </si>
  <si>
    <t>2103.1.01</t>
  </si>
  <si>
    <t>FOLHA DE PAGAMENTO LÍQUIDA</t>
  </si>
  <si>
    <t>2103.1.01.01</t>
  </si>
  <si>
    <t>2103.1.01.01.001</t>
  </si>
  <si>
    <t>2103.1.01.01.001.001</t>
  </si>
  <si>
    <t>SALÁRIOS FUNCIONÁRIOS</t>
  </si>
  <si>
    <t>2103.1.01.01.001.002</t>
  </si>
  <si>
    <t>2103.1.01.01.001.003</t>
  </si>
  <si>
    <t>PROVISÃO DE FÉRIAS</t>
  </si>
  <si>
    <t>2103.1.01.01.001.004</t>
  </si>
  <si>
    <t>INSS S/ FÉRIAS</t>
  </si>
  <si>
    <t>2103.1.01.01.001.005</t>
  </si>
  <si>
    <t>FGTS S/ FÉRIAS</t>
  </si>
  <si>
    <t>2103.1.01.01.001.008</t>
  </si>
  <si>
    <t>BOLSA DE ESTÁGIO</t>
  </si>
  <si>
    <t>2103.1.01.01.001.012</t>
  </si>
  <si>
    <t>PROVISÃO DE 13º SALÁRIO</t>
  </si>
  <si>
    <t>2103.1.01.01.001.013</t>
  </si>
  <si>
    <t>INSS S/ 13º SALÁRIO</t>
  </si>
  <si>
    <t>2103.1.01.01.001.014</t>
  </si>
  <si>
    <t>FGTS S/ 13º SALÁRIO</t>
  </si>
  <si>
    <t>2103.1.02</t>
  </si>
  <si>
    <t>13º SALÁRIO</t>
  </si>
  <si>
    <t>2103.1.02.01</t>
  </si>
  <si>
    <t>2103.1.02.01.001</t>
  </si>
  <si>
    <t>2103.1.02.01.001.001</t>
  </si>
  <si>
    <t>13º SALÁRIO FUNCIONÁRIOS</t>
  </si>
  <si>
    <t>2103.1.03</t>
  </si>
  <si>
    <t>FÉRIAS</t>
  </si>
  <si>
    <t>2103.1.03.01</t>
  </si>
  <si>
    <t>2103.1.03.01.001</t>
  </si>
  <si>
    <t>2103.1.03.01.001.001</t>
  </si>
  <si>
    <t>2103.1.04</t>
  </si>
  <si>
    <t>TRIBUTOS RETIDOS NA FONTE</t>
  </si>
  <si>
    <t>2103.1.04.01</t>
  </si>
  <si>
    <t>2103.1.04.01.001</t>
  </si>
  <si>
    <t>2103.1.04.01.001.001</t>
  </si>
  <si>
    <t>INSS</t>
  </si>
  <si>
    <t>2103.1.04.01.001.002</t>
  </si>
  <si>
    <t>IRRF</t>
  </si>
  <si>
    <t>2103.1.04.01.002</t>
  </si>
  <si>
    <t>2103.1.04.01.002.002</t>
  </si>
  <si>
    <t>IRRF SOBRE FOLHA - UHE SALTO PILÃO</t>
  </si>
  <si>
    <t>2103.1.04.01.002.003</t>
  </si>
  <si>
    <t>INSS SOBRE FOLHA - UHE SALTO PILÃO</t>
  </si>
  <si>
    <t>2103.1.04.01.002.004</t>
  </si>
  <si>
    <t>FGTS SOBRE FOLHA - A RECOLHER</t>
  </si>
  <si>
    <t>2103.1.05</t>
  </si>
  <si>
    <t>CONSIGNAÇÕES EM FAVOR DA CONCESSIONÁRIA E/OU TERCEIROS</t>
  </si>
  <si>
    <t>2103.1.05.01</t>
  </si>
  <si>
    <t>2103.1.05.01.001</t>
  </si>
  <si>
    <t>2103.1.05.01.001.002</t>
  </si>
  <si>
    <t>EMPRÉSTIMO CONSIGNADO FUNCIONÁRIOS/DIRETORIA</t>
  </si>
  <si>
    <t>2103.1.05.01.001.003</t>
  </si>
  <si>
    <t>CONTRIBUIÇÃO SINDICAL MENSAL - SINDEFURNAS</t>
  </si>
  <si>
    <t>2103.1.05.01.001.004</t>
  </si>
  <si>
    <t xml:space="preserve">COOPOÇOS </t>
  </si>
  <si>
    <t>2103.1.05.01.001.006</t>
  </si>
  <si>
    <t>AFAD/FUPAJ - REPASSE DMEE</t>
  </si>
  <si>
    <t>2103.1.05.01.001.007</t>
  </si>
  <si>
    <t>AFAD FUNCIONÁRIOS/DIRETORIA</t>
  </si>
  <si>
    <t>2103.1.05.01.001.008</t>
  </si>
  <si>
    <t>SUPREV - PATROCINADORA</t>
  </si>
  <si>
    <t>2103.1.05.01.001.009</t>
  </si>
  <si>
    <t>SUPREV - FUNCIONÁRIOS/DIRETORIA</t>
  </si>
  <si>
    <t>2103.1.05.01.001.010</t>
  </si>
  <si>
    <t>FUPAJ - FUNDAÇÃO PEDRO AFONSO JUNQUEIRA</t>
  </si>
  <si>
    <t>2103.1.05.01.001.011</t>
  </si>
  <si>
    <t>PENSÃO ALIMENTÍCIA</t>
  </si>
  <si>
    <t>2103.1.99</t>
  </si>
  <si>
    <t>2103.1.99.01.002</t>
  </si>
  <si>
    <t>2103.1.99.01.002.001</t>
  </si>
  <si>
    <t>PROVISÃO DE FÉRIAS - UHE SALTO PILÃO</t>
  </si>
  <si>
    <t>2103.1.99.01.002.002</t>
  </si>
  <si>
    <t>INSS S/ FÉRIAS - UHE SALTO PILÃO</t>
  </si>
  <si>
    <t>2103.1.99.01.002.003</t>
  </si>
  <si>
    <t>FGTS S/ FÉRIAS - UHE SALTO PILÃO</t>
  </si>
  <si>
    <t>2103.1.99.01.002.004</t>
  </si>
  <si>
    <t>PROVISÃO DE 13º SALÁRIO - UHE SALTO PILÃO</t>
  </si>
  <si>
    <t>2103.1.99.01.002.005</t>
  </si>
  <si>
    <t>INSS S/ 13º SALÁRIO - UHE SALTO PILÃO</t>
  </si>
  <si>
    <t>2103.1.99.01.002.006</t>
  </si>
  <si>
    <t>FGTS S/ 13º SALÁRIO - UHE SALTO PILÃO</t>
  </si>
  <si>
    <t>2105</t>
  </si>
  <si>
    <t>TRIBUTOS</t>
  </si>
  <si>
    <t>2105.1</t>
  </si>
  <si>
    <t>2105.1.01</t>
  </si>
  <si>
    <t>2105.1.01.01</t>
  </si>
  <si>
    <t>2105.1.01.01.001</t>
  </si>
  <si>
    <t>2105.1.01.01.001.001</t>
  </si>
  <si>
    <t>2105.1.02</t>
  </si>
  <si>
    <t>2105.1.02.01</t>
  </si>
  <si>
    <t>2105.1.02.01.001</t>
  </si>
  <si>
    <t>2105.1.02.01.001.001</t>
  </si>
  <si>
    <t>2105.1.03</t>
  </si>
  <si>
    <t>2105.1.03.01</t>
  </si>
  <si>
    <t>2105.1.03.01.001</t>
  </si>
  <si>
    <t>2105.1.03.01.001.001</t>
  </si>
  <si>
    <t>PIS OUTRAS RECEITAS OPERACIONAIS</t>
  </si>
  <si>
    <t>2105.1.04</t>
  </si>
  <si>
    <t>2105.1.04.01</t>
  </si>
  <si>
    <t>2105.1.04.01.001</t>
  </si>
  <si>
    <t>2105.1.04.01.001.001</t>
  </si>
  <si>
    <t>COFINS OUTRAS RECEITAS OPERACIONAIS</t>
  </si>
  <si>
    <t>2105.2</t>
  </si>
  <si>
    <t>TRIBUTOS ESTADUAIS</t>
  </si>
  <si>
    <t>2105.2.01</t>
  </si>
  <si>
    <t>ICMS</t>
  </si>
  <si>
    <t>2105.2.01.01</t>
  </si>
  <si>
    <t>2105.2.01.01.001</t>
  </si>
  <si>
    <t>2105.2.01.01.001.002</t>
  </si>
  <si>
    <t>2105.2.01.01.002</t>
  </si>
  <si>
    <t>2105.2.01.01.002.001</t>
  </si>
  <si>
    <t>ICMS - DIFERENÇA DE ALÍQUOTA/SUBST TRIBUTÁRIA - UHE SALTO PI</t>
  </si>
  <si>
    <t>2105.3</t>
  </si>
  <si>
    <t>2105.3.01</t>
  </si>
  <si>
    <t>ISS</t>
  </si>
  <si>
    <t>2105.3.01.01.001</t>
  </si>
  <si>
    <t>2105.3.01.01.001.001</t>
  </si>
  <si>
    <t>ISSQN SERVIÇOS DE TERCEIROS</t>
  </si>
  <si>
    <t>2105.3.01.01.001.002</t>
  </si>
  <si>
    <t>ISSQN SERVIÇOS PRESTADOS</t>
  </si>
  <si>
    <t>2105.3.01.01.002</t>
  </si>
  <si>
    <t>2105.3.01.01.002.002</t>
  </si>
  <si>
    <t>ISSQN SERVIÇOS DE TERCEIROS - UHE SALTO PILÃO</t>
  </si>
  <si>
    <t>CONTRIBUIÇÃO MENSAL CCEE</t>
  </si>
  <si>
    <t>2105.5</t>
  </si>
  <si>
    <t>CONTRIBUIÇÕES SOCIAIS</t>
  </si>
  <si>
    <t>2105.5.01</t>
  </si>
  <si>
    <t>2105.5.01.01</t>
  </si>
  <si>
    <t>2105.5.01.01.001</t>
  </si>
  <si>
    <t>2105.5.01.01.001.002</t>
  </si>
  <si>
    <t>CONTRIBUIÇÕES AO INSS</t>
  </si>
  <si>
    <t>2105.5.02</t>
  </si>
  <si>
    <t>FGTS</t>
  </si>
  <si>
    <t>2105.5.02.01</t>
  </si>
  <si>
    <t>2105.5.02.01.001</t>
  </si>
  <si>
    <t>2105.5.02.01.001.001</t>
  </si>
  <si>
    <t>2105.6</t>
  </si>
  <si>
    <t>2105.6.01</t>
  </si>
  <si>
    <t>2105.6.01.01</t>
  </si>
  <si>
    <t>2105.6.01.01.001</t>
  </si>
  <si>
    <t>2105.6.01.01.001.001</t>
  </si>
  <si>
    <t>IRRF SERVIÇOS DE TERCEIROS - PESSOA JURÍDICA</t>
  </si>
  <si>
    <t>2105.6.01.01.001.004</t>
  </si>
  <si>
    <t>IRRF SOBRE JCP</t>
  </si>
  <si>
    <t>2105.6.01.01.002</t>
  </si>
  <si>
    <t>2105.6.01.01.002.001</t>
  </si>
  <si>
    <t>IRRF SERVIÇOS DE TERCEIROS - P. JURÍDICA - UHE SALTO PILÃO</t>
  </si>
  <si>
    <t>2105.6.99</t>
  </si>
  <si>
    <t>2105.6.99.01</t>
  </si>
  <si>
    <t>2105.6.99.01.001</t>
  </si>
  <si>
    <t>2105.6.99.01.001.001</t>
  </si>
  <si>
    <t>PIS/COFINS/CSLL SERV. TERCEIROS</t>
  </si>
  <si>
    <t>2105.6.99.01.001.002</t>
  </si>
  <si>
    <t>INSS RETIDO SERVIÇOS DE TERCEIROS</t>
  </si>
  <si>
    <t>2105.6.99.01.002</t>
  </si>
  <si>
    <t>2105.6.99.01.002.001</t>
  </si>
  <si>
    <t>2105.6.99.01.002.002</t>
  </si>
  <si>
    <t>CRF A RECOLHER</t>
  </si>
  <si>
    <t>PROVISÃO PARA LITÍGIOS</t>
  </si>
  <si>
    <t>2108</t>
  </si>
  <si>
    <t>ENCARGOS SETORIAIS</t>
  </si>
  <si>
    <t>2108.1</t>
  </si>
  <si>
    <t>PESQUISA E DESENVOLVIMENTO - P&amp;D</t>
  </si>
  <si>
    <t>2108.1.01</t>
  </si>
  <si>
    <t>F.N.D.C.T.</t>
  </si>
  <si>
    <t>2108.1.01.01</t>
  </si>
  <si>
    <t>F.N.D.C.T</t>
  </si>
  <si>
    <t>2108.1.01.01.002</t>
  </si>
  <si>
    <t>2108.1.01.01.002.001</t>
  </si>
  <si>
    <t>F.N.D.C.T - UHE SALTO PILÃO</t>
  </si>
  <si>
    <t>2108.1.01.01.003</t>
  </si>
  <si>
    <t>2108.1.01.01.003.001</t>
  </si>
  <si>
    <t>F.N.D.C.T. - UHE ANTAS I</t>
  </si>
  <si>
    <t>2108.1.02</t>
  </si>
  <si>
    <t>M.M.E.</t>
  </si>
  <si>
    <t>2108.1.02.01</t>
  </si>
  <si>
    <t>2108.1.02.01.002</t>
  </si>
  <si>
    <t>2108.1.02.01.002.001</t>
  </si>
  <si>
    <t>M.M.E. - UHE SALTO PILÃO</t>
  </si>
  <si>
    <t>2108.1.02.01.003</t>
  </si>
  <si>
    <t>2108.1.02.01.003.001</t>
  </si>
  <si>
    <t>M.M.E. - ANTAS I</t>
  </si>
  <si>
    <t>2108.1.03</t>
  </si>
  <si>
    <t>RECURSOS EM PODER DA EMPRESA</t>
  </si>
  <si>
    <t>2108.1.03.01</t>
  </si>
  <si>
    <t>2108.1.03.01.003</t>
  </si>
  <si>
    <t>2108.1.03.01.003.001</t>
  </si>
  <si>
    <t>P&amp;D - UHE ANTAS I</t>
  </si>
  <si>
    <t>2108.6</t>
  </si>
  <si>
    <t>TAXA DE FISCALIZAÇÃO DOS SERVIÇOS DE ENERGIA ELÉTRICA - TFSE</t>
  </si>
  <si>
    <t>2108.6.01.01</t>
  </si>
  <si>
    <t>2108.6.01.01.001</t>
  </si>
  <si>
    <t>2108.6.01.01.001.001</t>
  </si>
  <si>
    <t>TAXA DE FISCALIZAÇÃO ANEEL</t>
  </si>
  <si>
    <t>2108.6.01.01.002</t>
  </si>
  <si>
    <t>2108.6.01.01.002.001</t>
  </si>
  <si>
    <t>TAXA DE FISCALIZAÇÃO DA ANEEL</t>
  </si>
  <si>
    <t>2108.6.01.01.003</t>
  </si>
  <si>
    <t>2108.6.01.01.003.001</t>
  </si>
  <si>
    <t>TAXA DE FISCALIZAÇÃO ANEEL - UHE ANTAS I</t>
  </si>
  <si>
    <t>2108.7</t>
  </si>
  <si>
    <t xml:space="preserve">COMPENSAÇÃO FINANCEIRA PELA UTILIZAÇÃO DE RECURSOS HÍDRICOS </t>
  </si>
  <si>
    <t>2108.7.01</t>
  </si>
  <si>
    <t>COMPENSAÇÃO FINANCEIRA PELA UTILIZAÇÃO DE RECURSOS HÍDRICOS</t>
  </si>
  <si>
    <t>2108.7.01.01</t>
  </si>
  <si>
    <t>2108.7.01.01.002</t>
  </si>
  <si>
    <t>2108.7.01.01.002.001</t>
  </si>
  <si>
    <t>COMP. FIN. UTILIZAÇÃO DE RECURSOS HÍDRICOS</t>
  </si>
  <si>
    <t>2112</t>
  </si>
  <si>
    <t>PROVISÃO PARA USO DO BEM PÚBLICO</t>
  </si>
  <si>
    <t>2112.1</t>
  </si>
  <si>
    <t>2112.1.00.00.002</t>
  </si>
  <si>
    <t>2112.1.00.00.002.003</t>
  </si>
  <si>
    <t>USO DO BEM PUBLICO - UBP CURTO PRAZO</t>
  </si>
  <si>
    <t>2119</t>
  </si>
  <si>
    <t>OUTROS PASSIVOS CIRCULANTES</t>
  </si>
  <si>
    <t>2119.4</t>
  </si>
  <si>
    <t>CAUÇÕES EM GARANTIA</t>
  </si>
  <si>
    <t>2119.4.01</t>
  </si>
  <si>
    <t>2119.4.01.01</t>
  </si>
  <si>
    <t>2119.4.01.01.001</t>
  </si>
  <si>
    <t>2119.4.01.01.001.006</t>
  </si>
  <si>
    <t>2119.9</t>
  </si>
  <si>
    <t>2119.9.09</t>
  </si>
  <si>
    <t>OUTROS CREDORES</t>
  </si>
  <si>
    <t>2119.9.09.01</t>
  </si>
  <si>
    <t>2119.9.09.01.001</t>
  </si>
  <si>
    <t>2119.9.09.01.001.020</t>
  </si>
  <si>
    <t>2119.9.09.01.001.025</t>
  </si>
  <si>
    <t>ABRAGEL - ASSOC. BRAS. DE GERAÇÃO DE ENERGIA LIMPA</t>
  </si>
  <si>
    <t>2119.9.09.01.001.093</t>
  </si>
  <si>
    <t>BANCO ITAÚ S/A - CRÉDITOS NÃO IDENTIFICADOS</t>
  </si>
  <si>
    <t>2200</t>
  </si>
  <si>
    <t>PASSIVO NÃO CIRCULANTE</t>
  </si>
  <si>
    <t>2201</t>
  </si>
  <si>
    <t>2201.3</t>
  </si>
  <si>
    <t>2201.3.01.01.002</t>
  </si>
  <si>
    <t>2201.3.01.01.002.001</t>
  </si>
  <si>
    <t>2208</t>
  </si>
  <si>
    <t>2208.1</t>
  </si>
  <si>
    <t>PESQUISA E DESENVOLVIMENTO - PD</t>
  </si>
  <si>
    <t>2208.1.03</t>
  </si>
  <si>
    <t>2208.1.03.01</t>
  </si>
  <si>
    <t>2208.1.03.01.002</t>
  </si>
  <si>
    <t>2208.1.03.01.002.001</t>
  </si>
  <si>
    <t>P&amp;D - PESQUISA E DESENVOLVIMENTO</t>
  </si>
  <si>
    <t>2212</t>
  </si>
  <si>
    <t>2212.1</t>
  </si>
  <si>
    <t>2212.1.01</t>
  </si>
  <si>
    <t>2212.1.01.01</t>
  </si>
  <si>
    <t>2212.1.01.01.002</t>
  </si>
  <si>
    <t>2212.1.01.01.002.001</t>
  </si>
  <si>
    <t>2400</t>
  </si>
  <si>
    <t>PATRIMÔNIO LÍQUIDO</t>
  </si>
  <si>
    <t>2401</t>
  </si>
  <si>
    <t>CAPITAL SOCIAL</t>
  </si>
  <si>
    <t>2401.1</t>
  </si>
  <si>
    <t>CAPITAL SUBSCRITO</t>
  </si>
  <si>
    <t>2401.1.01</t>
  </si>
  <si>
    <t>2401.1.01.01</t>
  </si>
  <si>
    <t>2401.1.01.01.001</t>
  </si>
  <si>
    <t>2401.1.01.01.001.001</t>
  </si>
  <si>
    <t>2401.1.01.01.002</t>
  </si>
  <si>
    <t>2401.1.01.01.002.002</t>
  </si>
  <si>
    <t xml:space="preserve">PARTICIPAÇÃO CONSORCIADAS </t>
  </si>
  <si>
    <t>2404</t>
  </si>
  <si>
    <t>RESERVAS DE LUCRO</t>
  </si>
  <si>
    <t>2404.1</t>
  </si>
  <si>
    <t>RESERVA LEGAL</t>
  </si>
  <si>
    <t>2404.1.01</t>
  </si>
  <si>
    <t>2404.1.01.01</t>
  </si>
  <si>
    <t>2404.1.01.01.001</t>
  </si>
  <si>
    <t>2404.1.01.01.001.001</t>
  </si>
  <si>
    <t>2404.4</t>
  </si>
  <si>
    <t>RESERVA DE RETENÇÃO DE LUCROS</t>
  </si>
  <si>
    <t>2404.4.01</t>
  </si>
  <si>
    <t>2404.4.01.01</t>
  </si>
  <si>
    <t>2404.4.01.01.001</t>
  </si>
  <si>
    <t>2404.4.01.01.001.002</t>
  </si>
  <si>
    <t>RESERVAS PARA INVESTIMENTOS - 2017</t>
  </si>
  <si>
    <t>2404.9</t>
  </si>
  <si>
    <t>2404.9.01</t>
  </si>
  <si>
    <t>OUTRAS RESERVAS DE LUCRO</t>
  </si>
  <si>
    <t>2404.9.01.01</t>
  </si>
  <si>
    <t>2404.9.01.01.001</t>
  </si>
  <si>
    <t>2404.9.01.01.001.005</t>
  </si>
  <si>
    <t xml:space="preserve">RESERVA DE LUCRO - EXERCICIO 2011 </t>
  </si>
  <si>
    <t>2404.9.01.01.001.006</t>
  </si>
  <si>
    <t>RESULTADO EX ANTERIORES - UBP</t>
  </si>
  <si>
    <t>2404.9.01.01.001.007</t>
  </si>
  <si>
    <t>RESERVA DE LUCRO DO EXERCÍCIO/2012</t>
  </si>
  <si>
    <t>2404.9.01.01.001.009</t>
  </si>
  <si>
    <t>RESERVA DE LUCRO DO EXERCÍCIO/2013</t>
  </si>
  <si>
    <t>2404.9.01.01.001.010</t>
  </si>
  <si>
    <t>RESERVA DE LUCRO DO EXERCÍCIO/2014</t>
  </si>
  <si>
    <t>2404.9.01.01.001.011</t>
  </si>
  <si>
    <t>RESERVA DE LUCRO DO EXERCÍCIO/2015</t>
  </si>
  <si>
    <t>2404.9.01.01.001.013</t>
  </si>
  <si>
    <t>2404.9.01.01.001.014</t>
  </si>
  <si>
    <t>2404.9.01.01.001.016</t>
  </si>
  <si>
    <t>RESERVA DE LUCRO DO EXERCÍCIO/2017</t>
  </si>
  <si>
    <t>2404.9.01.01.001.017</t>
  </si>
  <si>
    <t>DIVIDENDO MÍNIMO OBRIGATÓRIO/2017</t>
  </si>
  <si>
    <t>2404.9.01.01.001.018</t>
  </si>
  <si>
    <t>DIVIDENDOS INTERMEDIÁRIOS/2018</t>
  </si>
  <si>
    <t>2404.9.01.01.002</t>
  </si>
  <si>
    <t>OUTRAS RESERVAS DE LUCRO - UHE SALTO PILÃO</t>
  </si>
  <si>
    <t>2404.9.01.01.002.001</t>
  </si>
  <si>
    <t>RESULTADO EX ANTERIORES - UBP - UHE SALTO PILÃO</t>
  </si>
  <si>
    <t>2404.9.01.01.002.002</t>
  </si>
  <si>
    <t>RESERVA DE LUCRO - EXERCICIO 2011 - UHE SALTO PILÃO</t>
  </si>
  <si>
    <t>2405</t>
  </si>
  <si>
    <t>RECURSOS DESTINADOS A AUMENTO DE CAPITAL</t>
  </si>
  <si>
    <t>2405.1</t>
  </si>
  <si>
    <t>ADIANTAMENTOS</t>
  </si>
  <si>
    <t>2405.1.02</t>
  </si>
  <si>
    <t>RECUPERAÇÃO DE CRÉDITOS</t>
  </si>
  <si>
    <t>2405.1.02.01</t>
  </si>
  <si>
    <t>2405.1.02.01.002</t>
  </si>
  <si>
    <t>2405.1.02.01.002.002</t>
  </si>
  <si>
    <t>(-) RECUPERAÇÃO DE CRÉDITOS</t>
  </si>
  <si>
    <t>2406</t>
  </si>
  <si>
    <t>LUCROS OU PREJUÍZOS ACUMULADOS</t>
  </si>
  <si>
    <t>2406.1</t>
  </si>
  <si>
    <t>LUCROS ACUMULADOS</t>
  </si>
  <si>
    <t>2406.1.01</t>
  </si>
  <si>
    <t>2406.1.01.01</t>
  </si>
  <si>
    <t>2406.1.01.01.001</t>
  </si>
  <si>
    <t>2406.3</t>
  </si>
  <si>
    <t>(-) PROVENTOS INTERCALARES</t>
  </si>
  <si>
    <t>2406.3.01</t>
  </si>
  <si>
    <t>2406.3.01.01</t>
  </si>
  <si>
    <t>2406.3.01.01.001</t>
  </si>
  <si>
    <t>2406.3.01.01.001.001</t>
  </si>
  <si>
    <t>(-) PROVENTOS INTERCALARES - DIVIDENDOS</t>
  </si>
  <si>
    <t>4000</t>
  </si>
  <si>
    <t>CONTAS DE COMPENSAÇÃO DO ATIVO</t>
  </si>
  <si>
    <t>4100</t>
  </si>
  <si>
    <t>BENS E DIREITOS PRÓPRIOS</t>
  </si>
  <si>
    <t>4102</t>
  </si>
  <si>
    <t>ATIVO IMOBILIZADO - BENS TOTALMENTE DEPRECIADOS</t>
  </si>
  <si>
    <t>4102.1</t>
  </si>
  <si>
    <t>4102.1.01</t>
  </si>
  <si>
    <t>4102.1.01.02</t>
  </si>
  <si>
    <t>4102.1.01.02.003</t>
  </si>
  <si>
    <t>4102.1.01.02.003.001</t>
  </si>
  <si>
    <t>4102.1.01.03</t>
  </si>
  <si>
    <t>4102.1.01.03.003</t>
  </si>
  <si>
    <t>4102.1.01.03.003.001</t>
  </si>
  <si>
    <t>4102.1.01.04</t>
  </si>
  <si>
    <t>4102.1.01.04.001</t>
  </si>
  <si>
    <t>4102.1.01.04.001.001</t>
  </si>
  <si>
    <t>4102.1.01.04.003</t>
  </si>
  <si>
    <t>4102.1.01.04.003.001</t>
  </si>
  <si>
    <t>4102.1.01.05</t>
  </si>
  <si>
    <t>4102.1.01.05.001</t>
  </si>
  <si>
    <t>4102.1.01.05.001.001</t>
  </si>
  <si>
    <t>4102.1.01.06</t>
  </si>
  <si>
    <t>4102.1.01.06.001</t>
  </si>
  <si>
    <t>4102.1.01.06.001.001</t>
  </si>
  <si>
    <t>4102.1.01.06.003</t>
  </si>
  <si>
    <t>4102.1.01.06.003.001</t>
  </si>
  <si>
    <t>4102.1.02</t>
  </si>
  <si>
    <t>4102.1.02.02</t>
  </si>
  <si>
    <t>4102.1.02.02.003</t>
  </si>
  <si>
    <t>4102.1.02.02.003.001</t>
  </si>
  <si>
    <t>4102.1.02.03</t>
  </si>
  <si>
    <t>4102.1.02.03.003</t>
  </si>
  <si>
    <t>4102.1.02.03.003.001</t>
  </si>
  <si>
    <t>4102.1.02.04</t>
  </si>
  <si>
    <t>4102.1.02.04.001</t>
  </si>
  <si>
    <t>4102.1.02.04.001.001</t>
  </si>
  <si>
    <t>4102.1.02.04.003</t>
  </si>
  <si>
    <t>4102.1.02.04.003.001</t>
  </si>
  <si>
    <t>4102.1.02.05</t>
  </si>
  <si>
    <t>4102.1.02.05.001</t>
  </si>
  <si>
    <t>4102.1.02.05.001.001</t>
  </si>
  <si>
    <t>4102.1.02.06</t>
  </si>
  <si>
    <t>4102.1.02.06.001</t>
  </si>
  <si>
    <t>4102.1.02.06.001.001</t>
  </si>
  <si>
    <t>4102.1.02.06.003</t>
  </si>
  <si>
    <t>4102.1.02.06.003.001</t>
  </si>
  <si>
    <t>4102.4</t>
  </si>
  <si>
    <t>4102.4.01</t>
  </si>
  <si>
    <t>4102.4.01.04</t>
  </si>
  <si>
    <t>4102.4.01.04.001</t>
  </si>
  <si>
    <t>4102.4.01.04.001.001</t>
  </si>
  <si>
    <t>4102.4.01.05</t>
  </si>
  <si>
    <t>4102.4.01.05.001</t>
  </si>
  <si>
    <t>4102.4.01.05.001.001</t>
  </si>
  <si>
    <t>4102.4.01.06</t>
  </si>
  <si>
    <t>4102.4.01.06.001</t>
  </si>
  <si>
    <t>4102.4.01.06.001.001</t>
  </si>
  <si>
    <t>4102.4.02</t>
  </si>
  <si>
    <t>4102.4.02.04</t>
  </si>
  <si>
    <t>4102.4.02.04.001</t>
  </si>
  <si>
    <t>4102.4.02.04.001.001</t>
  </si>
  <si>
    <t>4102.4.02.05</t>
  </si>
  <si>
    <t>4102.4.02.05.001</t>
  </si>
  <si>
    <t>4102.4.02.05.001.001</t>
  </si>
  <si>
    <t>4102.4.02.06</t>
  </si>
  <si>
    <t>4102.4.02.06.001</t>
  </si>
  <si>
    <t>4102.4.02.06.001.001</t>
  </si>
  <si>
    <t>4105</t>
  </si>
  <si>
    <t>ATIVO INTANGÍVEL - BENS TOTALMENTE AMORTIZADOS</t>
  </si>
  <si>
    <t>4105.1</t>
  </si>
  <si>
    <t>4105.1.01</t>
  </si>
  <si>
    <t>4105.1.01.03</t>
  </si>
  <si>
    <t>4105.1.01.03.003</t>
  </si>
  <si>
    <t>4105.1.01.03.003.001</t>
  </si>
  <si>
    <t>4105.1.02</t>
  </si>
  <si>
    <t>4105.1.02.03</t>
  </si>
  <si>
    <t>4105.1.02.03.003</t>
  </si>
  <si>
    <t>4105.1.02.03.003.001</t>
  </si>
  <si>
    <t>4105.4</t>
  </si>
  <si>
    <t>4105.4.01</t>
  </si>
  <si>
    <t>4105.4.01.03</t>
  </si>
  <si>
    <t>4105.4.01.03.001</t>
  </si>
  <si>
    <t>4105.4.01.03.001.001</t>
  </si>
  <si>
    <t>4105.4.02</t>
  </si>
  <si>
    <t>4105.4.02.03</t>
  </si>
  <si>
    <t>4105.4.02.03.001</t>
  </si>
  <si>
    <t>4105.4.02.03.001.001</t>
  </si>
  <si>
    <t>5000</t>
  </si>
  <si>
    <t>CONTAS DE COMPENSAÇÃO DO PASSIVO</t>
  </si>
  <si>
    <t>5100</t>
  </si>
  <si>
    <t>5102</t>
  </si>
  <si>
    <t>ATIVO IMOBILIZADO - BENS TOTALMENTE DEPRECIADOS - CONTRAPART</t>
  </si>
  <si>
    <t>5102.1</t>
  </si>
  <si>
    <t>5102.1.01</t>
  </si>
  <si>
    <t>5102.1.01.02</t>
  </si>
  <si>
    <t>5102.1.01.02.003</t>
  </si>
  <si>
    <t>5102.1.01.02.003.001</t>
  </si>
  <si>
    <t>5102.1.01.03</t>
  </si>
  <si>
    <t>5102.1.01.03.003</t>
  </si>
  <si>
    <t>5102.1.01.03.003.001</t>
  </si>
  <si>
    <t>5102.1.01.04</t>
  </si>
  <si>
    <t>5102.1.01.04.001</t>
  </si>
  <si>
    <t>5102.1.01.04.001.001</t>
  </si>
  <si>
    <t>5102.1.01.04.003</t>
  </si>
  <si>
    <t>5102.1.01.04.003.001</t>
  </si>
  <si>
    <t>5102.1.01.05</t>
  </si>
  <si>
    <t>5102.1.01.05.001</t>
  </si>
  <si>
    <t>5102.1.01.05.001.001</t>
  </si>
  <si>
    <t>5102.1.01.06</t>
  </si>
  <si>
    <t>5102.1.01.06.001</t>
  </si>
  <si>
    <t>5102.1.01.06.001.001</t>
  </si>
  <si>
    <t>5102.1.01.06.003</t>
  </si>
  <si>
    <t>5102.1.01.06.003.001</t>
  </si>
  <si>
    <t>5102.1.02</t>
  </si>
  <si>
    <t>5102.1.02.02</t>
  </si>
  <si>
    <t>5102.1.02.02.003</t>
  </si>
  <si>
    <t>5102.1.02.02.003.001</t>
  </si>
  <si>
    <t>5102.1.02.03</t>
  </si>
  <si>
    <t>5102.1.02.03.003</t>
  </si>
  <si>
    <t>5102.1.02.03.003.001</t>
  </si>
  <si>
    <t>5102.1.02.04</t>
  </si>
  <si>
    <t>5102.1.02.04.001</t>
  </si>
  <si>
    <t>5102.1.02.04.001.001</t>
  </si>
  <si>
    <t>5102.1.02.04.003</t>
  </si>
  <si>
    <t>5102.1.02.04.003.001</t>
  </si>
  <si>
    <t>5102.1.02.05</t>
  </si>
  <si>
    <t>5102.1.02.05.001</t>
  </si>
  <si>
    <t>5102.1.02.05.001.001</t>
  </si>
  <si>
    <t>5102.1.02.06</t>
  </si>
  <si>
    <t>5102.1.02.06.001</t>
  </si>
  <si>
    <t>5102.1.02.06.001.001</t>
  </si>
  <si>
    <t>5102.1.02.06.003</t>
  </si>
  <si>
    <t>5102.1.02.06.003.001</t>
  </si>
  <si>
    <t>5102.4</t>
  </si>
  <si>
    <t>5102.4.01</t>
  </si>
  <si>
    <t>5102.4.01.04</t>
  </si>
  <si>
    <t>5102.4.01.04.001</t>
  </si>
  <si>
    <t>5102.4.01.04.001.001</t>
  </si>
  <si>
    <t>5102.4.01.05</t>
  </si>
  <si>
    <t>5102.4.01.05.001</t>
  </si>
  <si>
    <t>5102.4.01.05.001.001</t>
  </si>
  <si>
    <t>5102.4.01.06</t>
  </si>
  <si>
    <t>5102.4.01.06.001</t>
  </si>
  <si>
    <t>5102.4.01.06.001.001</t>
  </si>
  <si>
    <t>5102.4.02</t>
  </si>
  <si>
    <t>5102.4.02.04</t>
  </si>
  <si>
    <t>5102.4.02.04.001</t>
  </si>
  <si>
    <t>5102.4.02.04.001.001</t>
  </si>
  <si>
    <t>5102.4.02.05</t>
  </si>
  <si>
    <t>5102.4.02.05.001</t>
  </si>
  <si>
    <t>5102.4.02.05.001.001</t>
  </si>
  <si>
    <t>5102.4.02.06</t>
  </si>
  <si>
    <t>5102.4.02.06.001</t>
  </si>
  <si>
    <t>5102.4.02.06.001.001</t>
  </si>
  <si>
    <t>5105</t>
  </si>
  <si>
    <t>ATIVO INTANGÍVEL - BENS TOTALMENTE AMORTIZADOS - CONTRAPARTI</t>
  </si>
  <si>
    <t>5105.1</t>
  </si>
  <si>
    <t>5105.1.01</t>
  </si>
  <si>
    <t>5105.1.01.03</t>
  </si>
  <si>
    <t>5105.1.01.03.003</t>
  </si>
  <si>
    <t>5105.1.01.03.003.001</t>
  </si>
  <si>
    <t>5105.1.02</t>
  </si>
  <si>
    <t>5105.1.02.03</t>
  </si>
  <si>
    <t>5105.1.02.03.003</t>
  </si>
  <si>
    <t>5105.1.02.03.003.001</t>
  </si>
  <si>
    <t>5105.4</t>
  </si>
  <si>
    <t>5105.4.01</t>
  </si>
  <si>
    <t>5105.4.01.03</t>
  </si>
  <si>
    <t>5105.4.01.03.001</t>
  </si>
  <si>
    <t>5105.4.01.03.001.001</t>
  </si>
  <si>
    <t>5105.4.02</t>
  </si>
  <si>
    <t>5105.4.02.03</t>
  </si>
  <si>
    <t>5105.4.02.03.001</t>
  </si>
  <si>
    <t>5105.4.02.03.001.001</t>
  </si>
  <si>
    <t>6000</t>
  </si>
  <si>
    <t>RESULTADO ANTES DA CONTRIBUIÇÃO SOCIAL E DO IMPOSTO DE RENDA</t>
  </si>
  <si>
    <t>6100</t>
  </si>
  <si>
    <t>RESULTADO DAS ATIVIDADES</t>
  </si>
  <si>
    <t>6101</t>
  </si>
  <si>
    <t>RECEITA LÍQUIDA</t>
  </si>
  <si>
    <t>6101.1</t>
  </si>
  <si>
    <t>6101.1.01</t>
  </si>
  <si>
    <t>RECEITA DE OPERAÇÕES COM ENERGIA ELÉTRICA</t>
  </si>
  <si>
    <t>6101.1.01.02</t>
  </si>
  <si>
    <t>SUPRIMENTO - GERAÇÃO PRÓPRIA</t>
  </si>
  <si>
    <t>6101.1.01.02.000.001</t>
  </si>
  <si>
    <t>APURAÇÃO POR REGIME DE COTAS DE GARANTIA FISICA</t>
  </si>
  <si>
    <t>6101.1.01.02.001</t>
  </si>
  <si>
    <t>6101.1.01.02.001.003</t>
  </si>
  <si>
    <t>SUPRIMENTO DE ENERGIA PCH PADRE CARLOS</t>
  </si>
  <si>
    <t>6101.1.01.02.003</t>
  </si>
  <si>
    <t>6101.1.01.02.003.006</t>
  </si>
  <si>
    <t>SUPRIMENTO DE ENERGIA UHE SALTO PILÃO</t>
  </si>
  <si>
    <t>6101.1.30</t>
  </si>
  <si>
    <t>(-) TRIBUTOS SOBRE A RECEITA</t>
  </si>
  <si>
    <t>6101.1.30.01</t>
  </si>
  <si>
    <t>6101.1.30.01.001</t>
  </si>
  <si>
    <t>6101.1.30.01.001.001</t>
  </si>
  <si>
    <t>6101.1.30.01.003</t>
  </si>
  <si>
    <t>UHE SALTO PILÃO - SUPRIMENTO DE ENERGIA</t>
  </si>
  <si>
    <t>6101.1.30.01.003.001</t>
  </si>
  <si>
    <t>6101.1.30.01.004</t>
  </si>
  <si>
    <t>6101.1.30.01.004.001</t>
  </si>
  <si>
    <t>6101.1.30.02</t>
  </si>
  <si>
    <t>6101.1.30.02.001</t>
  </si>
  <si>
    <t>6101.1.30.02.001.001</t>
  </si>
  <si>
    <t>6101.1.30.02.003</t>
  </si>
  <si>
    <t>6101.1.30.02.003.001</t>
  </si>
  <si>
    <t>6101.1.30.02.004</t>
  </si>
  <si>
    <t>6101.1.30.02.004.001</t>
  </si>
  <si>
    <t>6101.1.31</t>
  </si>
  <si>
    <t>(-) ENCARGOS DO CONSUMIDOR</t>
  </si>
  <si>
    <t>6101.1.31.01</t>
  </si>
  <si>
    <t>6101.1.31.01.002</t>
  </si>
  <si>
    <t>6101.1.31.01.002.002</t>
  </si>
  <si>
    <t>P&amp;D - UHE SALTO PILÃO</t>
  </si>
  <si>
    <t>6101.1.31.01.004</t>
  </si>
  <si>
    <t>6101.1.31.01.004.001</t>
  </si>
  <si>
    <t>6101.1.31.05</t>
  </si>
  <si>
    <t>6101.1.31.05.110</t>
  </si>
  <si>
    <t>6101.1.31.05.110.001</t>
  </si>
  <si>
    <t>TAXA DE FISCALIZAÇÃO</t>
  </si>
  <si>
    <t>6101.1.31.05.120</t>
  </si>
  <si>
    <t>6101.1.31.05.120.002</t>
  </si>
  <si>
    <t>TAXA DE FISCALIZAÇÃO ANEEL - UHE SALTO PILÃO</t>
  </si>
  <si>
    <t>6101.1.31.05.130</t>
  </si>
  <si>
    <t>TAXA DE FISCALIZAÇÃO ANEEL - ANTAS I</t>
  </si>
  <si>
    <t>6101.1.31.05.130.001</t>
  </si>
  <si>
    <t>6101.1.31.09</t>
  </si>
  <si>
    <t>6101.1.31.09.002</t>
  </si>
  <si>
    <t>6101.1.31.09.002.001</t>
  </si>
  <si>
    <t>COFURH - COMP. FIN. UT. REC. HIDRICOS</t>
  </si>
  <si>
    <t>6101.5</t>
  </si>
  <si>
    <t>COMERCIALIZAÇÃO</t>
  </si>
  <si>
    <t>6101.5.01</t>
  </si>
  <si>
    <t>6101.5.01.02</t>
  </si>
  <si>
    <t>SUPRIMENTO - GERAÇÃO DE TERCEIROS</t>
  </si>
  <si>
    <t>6101.5.01.02.001</t>
  </si>
  <si>
    <t>UHE BARRA GRANDE</t>
  </si>
  <si>
    <t>6101.5.01.02.001.002</t>
  </si>
  <si>
    <t>SUPRIMENTO DE ENERGIA UHE BARRA GRANDE - COMERCIALIZAÇÃO</t>
  </si>
  <si>
    <t>6101.5.01.03</t>
  </si>
  <si>
    <t>ENERGIA ELÉTRICA DE CURTO PRAZO - GERAÇÃO DE TERCEIROS</t>
  </si>
  <si>
    <t>6101.5.01.03.001</t>
  </si>
  <si>
    <t>6101.5.01.03.001.001</t>
  </si>
  <si>
    <t>CCEE - LIQUIDAÇÃO DE ENERGIA</t>
  </si>
  <si>
    <t>6101.5.30</t>
  </si>
  <si>
    <t>6101.5.30.01</t>
  </si>
  <si>
    <t>6101.5.30.01.001</t>
  </si>
  <si>
    <t>6101.5.30.01.001.001</t>
  </si>
  <si>
    <t>PIS - COMERCIALIZAÇÃO</t>
  </si>
  <si>
    <t>6101.5.30.02</t>
  </si>
  <si>
    <t>6101.5.30.02.001</t>
  </si>
  <si>
    <t>6101.5.30.02.001.002</t>
  </si>
  <si>
    <t>COFINS - COMERCIALIZAÇÃO</t>
  </si>
  <si>
    <t>6101.5.30.04</t>
  </si>
  <si>
    <t>6101.5.30.04.510</t>
  </si>
  <si>
    <t>6101.5.30.04.510.001</t>
  </si>
  <si>
    <t>ICMS COMERCIALIZAÇÃO</t>
  </si>
  <si>
    <t>6105</t>
  </si>
  <si>
    <t>(-) GASTOS OPERACIONAIS</t>
  </si>
  <si>
    <t>6105.1</t>
  </si>
  <si>
    <t>6105.1.02</t>
  </si>
  <si>
    <t>ENCARGOS DE TRANSMISSÃO, CONEXÃO E DISTRIBUIÇÃO</t>
  </si>
  <si>
    <t>6105.1.02.01</t>
  </si>
  <si>
    <t>6105.1.02.01.120</t>
  </si>
  <si>
    <t>6105.1.02.01.120.002</t>
  </si>
  <si>
    <t>ENCARGOS DE USO DA REDE ELÉTRICA - TUSD</t>
  </si>
  <si>
    <t>6105.1.02.01.130</t>
  </si>
  <si>
    <t>6105.1.05</t>
  </si>
  <si>
    <t>PESSOAL</t>
  </si>
  <si>
    <t>6105.1.05.01</t>
  </si>
  <si>
    <t>REMUNERAÇÃO</t>
  </si>
  <si>
    <t>6105.1.05.01.110</t>
  </si>
  <si>
    <t>6105.1.05.01.110.001</t>
  </si>
  <si>
    <t>SALÁRIOS</t>
  </si>
  <si>
    <t>6105.1.05.01.110.010</t>
  </si>
  <si>
    <t>PROVISÃO TRABALHISTA - FÉRIAS</t>
  </si>
  <si>
    <t>6105.1.05.01.110.011</t>
  </si>
  <si>
    <t>PROVISÃO TRABALHISTA - INSS S/ FÉRIAS</t>
  </si>
  <si>
    <t>6105.1.05.01.110.012</t>
  </si>
  <si>
    <t>PROVISÃO TRABALHISTA - FGTS S/ FÉRIAS</t>
  </si>
  <si>
    <t>6105.1.05.01.110.013</t>
  </si>
  <si>
    <t>PROVISÃO TRABALHISTA - 13º SALÁRIO</t>
  </si>
  <si>
    <t>6105.1.05.01.110.014</t>
  </si>
  <si>
    <t>PROVISÃO TRABALHISTA - INSS S/ 13º SALÁRIO</t>
  </si>
  <si>
    <t>6105.1.05.01.110.015</t>
  </si>
  <si>
    <t>PROVISÃO TRABALHISTA - FGTS S/ 13º SALÁRIO</t>
  </si>
  <si>
    <t>6105.1.05.01.110.019</t>
  </si>
  <si>
    <t>GRATIFICAÇÕES/COMISSÕES</t>
  </si>
  <si>
    <t>6105.1.05.01.110.028</t>
  </si>
  <si>
    <t>PCMSO/PPRA</t>
  </si>
  <si>
    <t>6105.1.05.01.110.045</t>
  </si>
  <si>
    <t>HORAS EXTRAS</t>
  </si>
  <si>
    <t>6105.1.05.01.120</t>
  </si>
  <si>
    <t>6105.1.05.01.120.041</t>
  </si>
  <si>
    <t>6105.1.05.01.130</t>
  </si>
  <si>
    <t>6105.1.05.01.130.001</t>
  </si>
  <si>
    <t>6105.1.05.01.130.010</t>
  </si>
  <si>
    <t>PROVISÕES TRABALHISTAS - FÉRIAS</t>
  </si>
  <si>
    <t>6105.1.05.01.130.011</t>
  </si>
  <si>
    <t>PROVISÕES TRABALHISTAS - INSS S/ FÉRIAS</t>
  </si>
  <si>
    <t>6105.1.05.01.130.012</t>
  </si>
  <si>
    <t>PROVISÕES TRABALHISTAS - FGTS S/ FÉRIAS</t>
  </si>
  <si>
    <t>6105.1.05.01.130.013</t>
  </si>
  <si>
    <t>PROVISÕES TRABALHISTAS - 13º SALÁRIO</t>
  </si>
  <si>
    <t>6105.1.05.01.130.014</t>
  </si>
  <si>
    <t>PROVISÕES TRABALHISTAS - INSS S/ 13º SALÁRIO</t>
  </si>
  <si>
    <t>6105.1.05.01.130.015</t>
  </si>
  <si>
    <t>PROVISÕES TRABALHISTAS - FGTS S/13º SALÁRIO</t>
  </si>
  <si>
    <t>6105.1.05.01.130.019</t>
  </si>
  <si>
    <t>6105.1.05.01.130.028</t>
  </si>
  <si>
    <t>6105.1.05.01.130.045</t>
  </si>
  <si>
    <t>6105.1.05.02</t>
  </si>
  <si>
    <t>ENCARGOS</t>
  </si>
  <si>
    <t>6105.1.05.02.110</t>
  </si>
  <si>
    <t>6105.1.05.02.110.004</t>
  </si>
  <si>
    <t>6105.1.05.02.110.005</t>
  </si>
  <si>
    <t>6105.1.05.02.120</t>
  </si>
  <si>
    <t>6105.1.05.02.120.020</t>
  </si>
  <si>
    <t>6105.1.05.02.130</t>
  </si>
  <si>
    <t>6105.1.05.02.130.004</t>
  </si>
  <si>
    <t>6105.1.05.02.130.005</t>
  </si>
  <si>
    <t>6105.1.05.03</t>
  </si>
  <si>
    <t>PREVIDÊNCIA PRIVADA - CORRENTE</t>
  </si>
  <si>
    <t>6105.1.05.03.110</t>
  </si>
  <si>
    <t>PCH P. CARLOS</t>
  </si>
  <si>
    <t>6105.1.05.03.110.022</t>
  </si>
  <si>
    <t>SUPREV - PREVIDÊNCIA COMPLEMENTAR</t>
  </si>
  <si>
    <t>6105.1.05.03.120</t>
  </si>
  <si>
    <t>6105.1.05.03.120.022</t>
  </si>
  <si>
    <t>6105.1.05.03.130</t>
  </si>
  <si>
    <t>6105.1.05.03.130.022</t>
  </si>
  <si>
    <t>6105.1.05.07</t>
  </si>
  <si>
    <t>PARTICIPAÇÃO NOS LUCROS E RESULTADOS - PLR</t>
  </si>
  <si>
    <t>6105.1.05.07.110</t>
  </si>
  <si>
    <t>6105.1.05.07.110.040</t>
  </si>
  <si>
    <t>PARTICIPAÇÃO NOS LUCROS E RESULTADOS</t>
  </si>
  <si>
    <t>6105.1.05.07.120</t>
  </si>
  <si>
    <t>PARTICIPAÇÃO NOS LUCROS E RESULTADOS - UHE SALTO PILÃO</t>
  </si>
  <si>
    <t>6105.1.05.07.120.040</t>
  </si>
  <si>
    <t>6105.1.05.07.130</t>
  </si>
  <si>
    <t>6105.1.05.07.130.040</t>
  </si>
  <si>
    <t>6105.1.05.08</t>
  </si>
  <si>
    <t>OUTROS BENEFÍCIOS - CORRENTE</t>
  </si>
  <si>
    <t>6105.1.05.08.110</t>
  </si>
  <si>
    <t>6105.1.05.08.110.006</t>
  </si>
  <si>
    <t>6105.1.05.08.110.007</t>
  </si>
  <si>
    <t>6105.1.05.08.110.018</t>
  </si>
  <si>
    <t>CONTRIBUIÇÃO AFAD/FUPAJ</t>
  </si>
  <si>
    <t>6105.1.05.08.110.029</t>
  </si>
  <si>
    <t>SEGURO DE VIDA FUNCIONÁRIOS</t>
  </si>
  <si>
    <t>6105.1.05.08.120</t>
  </si>
  <si>
    <t>6105.1.05.08.120.049</t>
  </si>
  <si>
    <t>6105.1.05.08.130</t>
  </si>
  <si>
    <t>6105.1.05.08.130.006</t>
  </si>
  <si>
    <t>6105.1.05.08.130.007</t>
  </si>
  <si>
    <t>6105.1.05.08.130.008</t>
  </si>
  <si>
    <t>6105.1.05.08.130.018</t>
  </si>
  <si>
    <t>6105.1.05.08.130.029</t>
  </si>
  <si>
    <t>SEGURO DE VIDA - FUNCIONÁRIOS</t>
  </si>
  <si>
    <t>ADMINISTRADORES</t>
  </si>
  <si>
    <t>BENEFÍCIOS DOS ADMINISTRADORES</t>
  </si>
  <si>
    <t>6105.1.07</t>
  </si>
  <si>
    <t>MATERIAIS</t>
  </si>
  <si>
    <t>6105.1.07.01</t>
  </si>
  <si>
    <t>6105.1.07.01.110</t>
  </si>
  <si>
    <t>6105.1.07.01.110.001</t>
  </si>
  <si>
    <t>COMBUSTÍVEIS E LUBRIFICANTES</t>
  </si>
  <si>
    <t>6105.1.07.01.120</t>
  </si>
  <si>
    <t>6105.1.07.01.120.014</t>
  </si>
  <si>
    <t>6105.1.07.01.130</t>
  </si>
  <si>
    <t>6105.1.07.01.130.001</t>
  </si>
  <si>
    <t>MATERIAL HIGIENE E LIMPEZA</t>
  </si>
  <si>
    <t>6105.1.07.01.130.006</t>
  </si>
  <si>
    <t>6105.1.07.01.130.013</t>
  </si>
  <si>
    <t>MATERIAL DE USO E CONSUMO</t>
  </si>
  <si>
    <t>6105.1.07.01.130.016</t>
  </si>
  <si>
    <t>REFEIÇÕES E LANCHES</t>
  </si>
  <si>
    <t>6105.1.07.01.130.026</t>
  </si>
  <si>
    <t>6105.1.08</t>
  </si>
  <si>
    <t>SERVIÇOS DE TERCEIROS</t>
  </si>
  <si>
    <t>6105.1.08.01</t>
  </si>
  <si>
    <t>6105.1.08.01.110</t>
  </si>
  <si>
    <t>SERVIÇOS DE TERCEIROS PESSOA JURÍDICA</t>
  </si>
  <si>
    <t>6105.1.08.01.110.004</t>
  </si>
  <si>
    <t>6105.1.08.01.110.009</t>
  </si>
  <si>
    <t>6105.1.08.01.110.031</t>
  </si>
  <si>
    <t>SERVIÇO DE FORNECIMENTO DE ENERGIA ELÉTRICA</t>
  </si>
  <si>
    <t>6105.1.08.01.120</t>
  </si>
  <si>
    <t>6105.1.08.01.120.023</t>
  </si>
  <si>
    <t>6105.1.08.01.130</t>
  </si>
  <si>
    <t>6105.1.08.01.130.002</t>
  </si>
  <si>
    <t>6105.1.08.01.130.004</t>
  </si>
  <si>
    <t>6105.1.08.01.130.009</t>
  </si>
  <si>
    <t>6105.1.08.01.130.012</t>
  </si>
  <si>
    <t>SERVIÇOS DE FORNECIMENTO DE ÁGUA</t>
  </si>
  <si>
    <t>6105.1.08.01.130.031</t>
  </si>
  <si>
    <t>6105.1.09</t>
  </si>
  <si>
    <t>ARRENDAMENTOS E ALUGUÉIS</t>
  </si>
  <si>
    <t>6105.1.09.02</t>
  </si>
  <si>
    <t>ALUGUÉIS EM GERAL</t>
  </si>
  <si>
    <t>6105.1.09.02.120</t>
  </si>
  <si>
    <t>6105.1.09.02.120.002</t>
  </si>
  <si>
    <t>ARRENDAMENTO E ALUGUÉIS</t>
  </si>
  <si>
    <t>6105.1.10</t>
  </si>
  <si>
    <t>SEGUROS</t>
  </si>
  <si>
    <t>6105.1.10.01</t>
  </si>
  <si>
    <t>6105.1.10.01.120</t>
  </si>
  <si>
    <t>6105.1.10.01.120.005</t>
  </si>
  <si>
    <t>6105.1.11</t>
  </si>
  <si>
    <t>DOAÇÕES, CONTRIBUIÇÕES E SUBVENÇÕES</t>
  </si>
  <si>
    <t>6105.1.11.01</t>
  </si>
  <si>
    <t>6105.1.11.01.120</t>
  </si>
  <si>
    <t>6105.1.11.01.120.001</t>
  </si>
  <si>
    <t>DOAÇÕES. CONTRIBUIÇÕES E SUBVENÇÕES</t>
  </si>
  <si>
    <t>6105.1.15</t>
  </si>
  <si>
    <t>(-) RECUPERAÇÃO DE DESPESAS</t>
  </si>
  <si>
    <t>RECUPERAÇÃO DE DESPESAS</t>
  </si>
  <si>
    <t>6105.1.16</t>
  </si>
  <si>
    <t>6105.1.16.01</t>
  </si>
  <si>
    <t>6105.1.16.01.120</t>
  </si>
  <si>
    <t>6105.1.16.01.120.012</t>
  </si>
  <si>
    <t>6105.1.16.01.130</t>
  </si>
  <si>
    <t>6105.1.17</t>
  </si>
  <si>
    <t>DEPRECIAÇÃO</t>
  </si>
  <si>
    <t>6105.1.17.01</t>
  </si>
  <si>
    <t>6105.1.17.01.110</t>
  </si>
  <si>
    <t>6105.1.17.01.110.001</t>
  </si>
  <si>
    <t>6105.1.17.01.120</t>
  </si>
  <si>
    <t>6105.1.17.01.120.002</t>
  </si>
  <si>
    <t>6105.1.17.01.130</t>
  </si>
  <si>
    <t>6105.1.17.01.130.001</t>
  </si>
  <si>
    <t>DEPRECIAÇÃO UHE ANTAS I - INVESTIMENTOS</t>
  </si>
  <si>
    <t>6105.1.18</t>
  </si>
  <si>
    <t>AMORTIZAÇÃO</t>
  </si>
  <si>
    <t>6105.1.18.01</t>
  </si>
  <si>
    <t>6105.1.18.01.120</t>
  </si>
  <si>
    <t>6105.1.18.01.120.005</t>
  </si>
  <si>
    <t>AMORTIZAÇÃO - UBP</t>
  </si>
  <si>
    <t>6105.1.18.01.120.006</t>
  </si>
  <si>
    <t>AMORTIZAÇÃO DO ATIVO INTANGIVEL - DMEE</t>
  </si>
  <si>
    <t>6105.1.19</t>
  </si>
  <si>
    <t>GASTOS DIVERSOS</t>
  </si>
  <si>
    <t>6105.1.19.04</t>
  </si>
  <si>
    <t>TAXAS BANCÁRIAS</t>
  </si>
  <si>
    <t>6105.1.19.04.120</t>
  </si>
  <si>
    <t>6105.1.19.04.120.070</t>
  </si>
  <si>
    <t>6105.1.19.99</t>
  </si>
  <si>
    <t>6105.1.19.99.120</t>
  </si>
  <si>
    <t>6105.1.25</t>
  </si>
  <si>
    <t>TRANSFERÊNCIA DA ADMINISTRAÇÃO CENTRAL - PESSOAL</t>
  </si>
  <si>
    <t>6105.1.25.01</t>
  </si>
  <si>
    <t>6105.1.25.01.000.001</t>
  </si>
  <si>
    <t>RATEIO ADM CENTRAL  TRANSF. DA ADM - REMUNERACAO</t>
  </si>
  <si>
    <t>6105.1.25.02</t>
  </si>
  <si>
    <t>6105.1.25.02.000.001</t>
  </si>
  <si>
    <t>TRANSFERÊNCIA DA ADMINISTRAÇÃO CENTRAL</t>
  </si>
  <si>
    <t>6105.1.25.03</t>
  </si>
  <si>
    <t>6105.1.25.03.000.001</t>
  </si>
  <si>
    <t>RATEIO ADM CENTRAL  TRANSF. DA ADM -  PREV. PRIVADA</t>
  </si>
  <si>
    <t>6105.1.25.07</t>
  </si>
  <si>
    <t>6105.1.25.07.000.001</t>
  </si>
  <si>
    <t>RATEIO ADM CENTRAL  TRANSF. DA ADM - PLR</t>
  </si>
  <si>
    <t>6105.1.25.08</t>
  </si>
  <si>
    <t>6105.1.25.08.000.001</t>
  </si>
  <si>
    <t>RATEIO ADM CENTRAL  TRANSF. DA ADM -  OUTROS BENEFICIOS</t>
  </si>
  <si>
    <t>6105.1.25.99</t>
  </si>
  <si>
    <t>6105.1.25.99.000.001</t>
  </si>
  <si>
    <t>6105.1.26</t>
  </si>
  <si>
    <t>TRANSFERÊNCIA DA ADMINISTRAÇÃO CENTRAL - ADMINISTRADORES</t>
  </si>
  <si>
    <t>6105.1.26.01</t>
  </si>
  <si>
    <t>HONORÁRIOS E ENCARGOS (DIRETORIA E CONSELHO)</t>
  </si>
  <si>
    <t>6105.1.26.01.000.001</t>
  </si>
  <si>
    <t>6105.1.26.02</t>
  </si>
  <si>
    <t>6105.1.26.02.000.001</t>
  </si>
  <si>
    <t>6105.1.27</t>
  </si>
  <si>
    <t>TRANSFERÊNCIA DA ADMINISTRAÇÃO CENTRAL - MATERIAIS</t>
  </si>
  <si>
    <t>6105.1.27.01</t>
  </si>
  <si>
    <t>6105.1.27.01.000.001</t>
  </si>
  <si>
    <t>6105.1.27.99</t>
  </si>
  <si>
    <t>6105.1.27.99.000.001</t>
  </si>
  <si>
    <t>TRANSFERENCIA DA ADMINISTRACAO CENTRAL - OUTROS</t>
  </si>
  <si>
    <t>6105.1.28</t>
  </si>
  <si>
    <t>TRANSFERÊNCIA DA ADMINISTRAÇÃO CENTRAL - SERVIÇOS DE TERCEIR</t>
  </si>
  <si>
    <t>6105.1.28.01</t>
  </si>
  <si>
    <t>6105.1.28.01.000.001</t>
  </si>
  <si>
    <t>6105.1.30</t>
  </si>
  <si>
    <t>TRANSFERÊNCIA DA ADMINISTRAÇÃO CENTRAL - SEGUROS</t>
  </si>
  <si>
    <t>6105.1.30.01</t>
  </si>
  <si>
    <t>6105.1.30.01.000.001</t>
  </si>
  <si>
    <t>6105.1.32</t>
  </si>
  <si>
    <t>TRANSFERÊNCIA DA ADMINISTRAÇÃO CENTRAL - PROVISÃO</t>
  </si>
  <si>
    <t>6105.1.36</t>
  </si>
  <si>
    <t>TRANSFERÊNCIA DA ADMINISTRAÇÃO CENTRAL - TRIBUTOS</t>
  </si>
  <si>
    <t>6105.1.36.01</t>
  </si>
  <si>
    <t>6105.1.36.01.000.001</t>
  </si>
  <si>
    <t>6105.1.37</t>
  </si>
  <si>
    <t>TRANSFERÊNCIA DA ADMINISTRAÇÃO CENTRAL - DEPRECIAÇÃO</t>
  </si>
  <si>
    <t>6105.1.37.01</t>
  </si>
  <si>
    <t>6105.1.37.01.000.001</t>
  </si>
  <si>
    <t>6105.1.39</t>
  </si>
  <si>
    <t>TRANSFERÊNCIA DA ADMINISTRAÇÃO CENTRAL - GASTOS DIVERSOS</t>
  </si>
  <si>
    <t>6105.1.39.04</t>
  </si>
  <si>
    <t>6105.1.39.04.000.001</t>
  </si>
  <si>
    <t>6105.1.39.99</t>
  </si>
  <si>
    <t>6105.1.39.99.000.001</t>
  </si>
  <si>
    <t>6105.4</t>
  </si>
  <si>
    <t>ADMINISTRAÇÃO CENTRAL</t>
  </si>
  <si>
    <t>6105.4.05</t>
  </si>
  <si>
    <t>6105.4.05.01</t>
  </si>
  <si>
    <t>6105.4.05.01.410</t>
  </si>
  <si>
    <t>6105.4.05.01.410.001</t>
  </si>
  <si>
    <t>6105.4.05.01.410.010</t>
  </si>
  <si>
    <t xml:space="preserve">PROVISÃO TRABALHISTA - FÉRIAS </t>
  </si>
  <si>
    <t>6105.4.05.01.410.011</t>
  </si>
  <si>
    <t>6105.4.05.01.410.012</t>
  </si>
  <si>
    <t>6105.4.05.01.410.013</t>
  </si>
  <si>
    <t>6105.4.05.01.410.014</t>
  </si>
  <si>
    <t>6105.4.05.01.410.015</t>
  </si>
  <si>
    <t>6105.4.05.01.410.019</t>
  </si>
  <si>
    <t>6105.4.05.01.410.028</t>
  </si>
  <si>
    <t>6105.4.05.01.410.045</t>
  </si>
  <si>
    <t>6105.4.05.01.410.995</t>
  </si>
  <si>
    <t>(-) MAO-DE-OBRA / ORDENS EM CURSO - Administrativo</t>
  </si>
  <si>
    <t>6105.4.05.02</t>
  </si>
  <si>
    <t>6105.4.05.02.410</t>
  </si>
  <si>
    <t>6105.4.05.02.410.004</t>
  </si>
  <si>
    <t>6105.4.05.02.410.005</t>
  </si>
  <si>
    <t>6105.4.05.02.410.995</t>
  </si>
  <si>
    <t>6105.4.05.03</t>
  </si>
  <si>
    <t>6105.4.05.03.410</t>
  </si>
  <si>
    <t>6105.4.05.03.410.022</t>
  </si>
  <si>
    <t>6105.4.05.07</t>
  </si>
  <si>
    <t>6105.4.05.07.410</t>
  </si>
  <si>
    <t>6105.4.05.07.410.040</t>
  </si>
  <si>
    <t>6105.4.05.08</t>
  </si>
  <si>
    <t>6105.4.05.08.410</t>
  </si>
  <si>
    <t>6105.4.05.08.410.006</t>
  </si>
  <si>
    <t>6105.4.05.08.410.007</t>
  </si>
  <si>
    <t>6105.4.05.08.410.008</t>
  </si>
  <si>
    <t>6105.4.05.08.410.018</t>
  </si>
  <si>
    <t>AFAD - ASSOCIAÇÃO DOS FUNC. APOSENT. E DIRETORES DA DME</t>
  </si>
  <si>
    <t>6105.4.05.08.410.029</t>
  </si>
  <si>
    <t>6105.4.05.99</t>
  </si>
  <si>
    <t>6105.4.05.99.410</t>
  </si>
  <si>
    <t>6105.4.05.99.410.001</t>
  </si>
  <si>
    <t>MENOR APRENDIZ - REMUNERAÇÃO</t>
  </si>
  <si>
    <t>6105.4.05.99.410.010</t>
  </si>
  <si>
    <t>MENOR APRENDIZ - PROVISÕES TRABALHISTAS</t>
  </si>
  <si>
    <t>6105.4.05.99.410.020</t>
  </si>
  <si>
    <t>MENOR APRENDIZ - ENCARGOS</t>
  </si>
  <si>
    <t>6105.4.05.99.410.049</t>
  </si>
  <si>
    <t>MENOR APRENDIZ - BENEFÍCIOS</t>
  </si>
  <si>
    <t>6105.4.06</t>
  </si>
  <si>
    <t>6105.4.06.01</t>
  </si>
  <si>
    <t>6105.4.06.01.410</t>
  </si>
  <si>
    <t>6105.4.06.01.410.001</t>
  </si>
  <si>
    <t>6105.4.06.01.410.004</t>
  </si>
  <si>
    <t>6105.4.06.01.410.005</t>
  </si>
  <si>
    <t>6105.4.06.01.410.009</t>
  </si>
  <si>
    <t>6105.4.06.01.410.010</t>
  </si>
  <si>
    <t>6105.4.06.01.410.011</t>
  </si>
  <si>
    <t>6105.4.06.01.410.012</t>
  </si>
  <si>
    <t>6105.4.06.01.410.013</t>
  </si>
  <si>
    <t>6105.4.06.01.410.016</t>
  </si>
  <si>
    <t>6105.4.06.02</t>
  </si>
  <si>
    <t>6105.4.06.02.410</t>
  </si>
  <si>
    <t>6105.4.06.02.410.007</t>
  </si>
  <si>
    <t>6105.4.06.02.410.017</t>
  </si>
  <si>
    <t>6105.4.06.02.410.018</t>
  </si>
  <si>
    <t>SEGURO DE VIDA</t>
  </si>
  <si>
    <t>6105.4.06.02.410.032</t>
  </si>
  <si>
    <t>6105.4.06.02.410.037</t>
  </si>
  <si>
    <t>AFAD - REPASSE DMEE</t>
  </si>
  <si>
    <t>6105.4.07</t>
  </si>
  <si>
    <t>6105.4.07.01</t>
  </si>
  <si>
    <t>6105.4.07.01.410</t>
  </si>
  <si>
    <t>6105.4.07.01.410.005</t>
  </si>
  <si>
    <t>MATERIAL SUPRIMENTO DE ESCRITÓRIO</t>
  </si>
  <si>
    <t>6105.4.07.01.410.010</t>
  </si>
  <si>
    <t>MATERIAL DE INFORMÁTICA</t>
  </si>
  <si>
    <t>6105.4.07.99</t>
  </si>
  <si>
    <t>6105.4.07.99.410</t>
  </si>
  <si>
    <t>6105.4.07.99.410.006</t>
  </si>
  <si>
    <t>6105.4.07.99.410.016</t>
  </si>
  <si>
    <t>6105.4.08</t>
  </si>
  <si>
    <t>6105.4.08.01</t>
  </si>
  <si>
    <t>6105.4.08.01.410</t>
  </si>
  <si>
    <t>6105.4.08.01.410.002</t>
  </si>
  <si>
    <t>6105.4.08.01.410.009</t>
  </si>
  <si>
    <t>6105.4.08.01.410.011</t>
  </si>
  <si>
    <t>PEDÁGIO</t>
  </si>
  <si>
    <t>6105.4.08.01.410.016</t>
  </si>
  <si>
    <t>SERVIÇOS POSTAIS</t>
  </si>
  <si>
    <t>6105.4.08.01.410.017</t>
  </si>
  <si>
    <t>6105.4.08.01.410.019</t>
  </si>
  <si>
    <t>SERVIÇOS DE TERCEIROS - TRANSPORTE AÉREO</t>
  </si>
  <si>
    <t>6105.4.08.01.410.023</t>
  </si>
  <si>
    <t>SERVIÇO DE INFORMÁTICA/INTERNET</t>
  </si>
  <si>
    <t>6105.4.08.01.410.027</t>
  </si>
  <si>
    <t>SERVIÇO DE TELEFONIA</t>
  </si>
  <si>
    <t>6105.4.08.01.410.067</t>
  </si>
  <si>
    <t>SERVIÇOS DE TERCEIROS - ASSESSORIA E CONSULTORIA</t>
  </si>
  <si>
    <t>6105.4.08.01.410.075</t>
  </si>
  <si>
    <t>PUBLICAÇÕES LEGAIS</t>
  </si>
  <si>
    <t>6105.4.08.01.410.078</t>
  </si>
  <si>
    <t>SERVIÇOS GRÁFICOS, BANNERS, IMPRESSÕES, CONFECÇÃO CARIMBOS</t>
  </si>
  <si>
    <t>6105.4.10</t>
  </si>
  <si>
    <t>6105.4.10.01</t>
  </si>
  <si>
    <t>6105.4.10.01.410</t>
  </si>
  <si>
    <t>6105.4.10.01.410.001</t>
  </si>
  <si>
    <t>SEGURO DE VEÍCULO</t>
  </si>
  <si>
    <t>6105.4.12</t>
  </si>
  <si>
    <t>PROVISÃO</t>
  </si>
  <si>
    <t>6105.4.16</t>
  </si>
  <si>
    <t>6105.4.16.01</t>
  </si>
  <si>
    <t>6105.4.16.01.410</t>
  </si>
  <si>
    <t>6105.4.16.01.410.004</t>
  </si>
  <si>
    <t>6105.4.16.01.410.008</t>
  </si>
  <si>
    <t>TAXAS E EMOLUMENTOS</t>
  </si>
  <si>
    <t>6105.4.17</t>
  </si>
  <si>
    <t>6105.4.17.01</t>
  </si>
  <si>
    <t>6105.4.17.01.410</t>
  </si>
  <si>
    <t>6105.4.17.01.410.001</t>
  </si>
  <si>
    <t>6105.4.17.01.410.002</t>
  </si>
  <si>
    <t>DEPRECIAÇÃO - EDIFICAÇÃO CASA AMAZONAS</t>
  </si>
  <si>
    <t>6105.4.19</t>
  </si>
  <si>
    <t>6105.4.19.04</t>
  </si>
  <si>
    <t>6105.4.19.04.410</t>
  </si>
  <si>
    <t>6105.4.19.04.410.020</t>
  </si>
  <si>
    <t>DESPESAS BANCÁRIAS</t>
  </si>
  <si>
    <t>6105.4.19.99</t>
  </si>
  <si>
    <t>6105.4.19.99.410</t>
  </si>
  <si>
    <t>6105.4.19.99.410.010</t>
  </si>
  <si>
    <t>ESTAGIÁRIOS</t>
  </si>
  <si>
    <t>6105.4.19.99.410.012</t>
  </si>
  <si>
    <t xml:space="preserve">CONTRIBUIÇÃO ABRAGEL </t>
  </si>
  <si>
    <t>6105.4.19.99.410.013</t>
  </si>
  <si>
    <t>6105.4.19.99.410.017</t>
  </si>
  <si>
    <t>CREA-MG</t>
  </si>
  <si>
    <t>6105.4.19.99.410.028</t>
  </si>
  <si>
    <t>DIÁRIAS/DESPESAS DE VIAGEM DIRETORES</t>
  </si>
  <si>
    <t>6105.4.19.99.410.031</t>
  </si>
  <si>
    <t>DESPESAS DE VIAGEM</t>
  </si>
  <si>
    <t>6105.4.19.99.410.062</t>
  </si>
  <si>
    <t>CONTRIBUIÇÃO MENSAL ABSOLAR</t>
  </si>
  <si>
    <t>6105.4.25</t>
  </si>
  <si>
    <t>(-) TRANSFERÊNCIAS PARA ATIVIDADES - PESSOAL</t>
  </si>
  <si>
    <t>6105.4.25.01</t>
  </si>
  <si>
    <t>6105.4.25.01.000.001</t>
  </si>
  <si>
    <t>6105.4.26</t>
  </si>
  <si>
    <t>(-) TRANSFERÊNCIAS PARA ATIVIDADES - ADMINISTRADORES</t>
  </si>
  <si>
    <t>6105.4.26.01</t>
  </si>
  <si>
    <t>6105.4.26.01.000.001</t>
  </si>
  <si>
    <t>6105.4.27</t>
  </si>
  <si>
    <t>(-) TRANSFERÊNCIAS PARA ATIVIDADES - MATERIAIS</t>
  </si>
  <si>
    <t>6105.4.27.01</t>
  </si>
  <si>
    <t>6105.4.27.01.000.001</t>
  </si>
  <si>
    <t>6105.4.28</t>
  </si>
  <si>
    <t>(-) TRANSFERÊNCIAS PARA ATIVIDADES - SERVIÇOS DE TERCEIROS</t>
  </si>
  <si>
    <t>6105.4.28.01</t>
  </si>
  <si>
    <t>6105.4.28.01.000.001</t>
  </si>
  <si>
    <t>6105.4.30</t>
  </si>
  <si>
    <t>(-) TRANSFERÊNCIAS PARA ATIVIDADES - SEGUROS</t>
  </si>
  <si>
    <t>6105.4.30.01</t>
  </si>
  <si>
    <t>6105.4.30.01.000.001</t>
  </si>
  <si>
    <t>6105.4.32</t>
  </si>
  <si>
    <t>(-) TRANSFERÊNCIAS PARA ATIVIDADES - PROVISÃO</t>
  </si>
  <si>
    <t>6105.4.32.01</t>
  </si>
  <si>
    <t>6105.4.36</t>
  </si>
  <si>
    <t>(-) TRANSFERÊNCIAS PARA ATIVIDADES - TRIBUTOS</t>
  </si>
  <si>
    <t>6105.4.36.01</t>
  </si>
  <si>
    <t>6105.4.36.01.000.001</t>
  </si>
  <si>
    <t>6105.4.37</t>
  </si>
  <si>
    <t>(-) TRANSFERÊNCIAS PARA ATIVIDADES - DEPRECIAÇÃO</t>
  </si>
  <si>
    <t>6105.4.37.01</t>
  </si>
  <si>
    <t>6105.4.37.01.000.001</t>
  </si>
  <si>
    <t>(-) Transferências para Atividades - Depreciação</t>
  </si>
  <si>
    <t>6105.4.39</t>
  </si>
  <si>
    <t>(-) TRANSFERÊNCIAS PARA ATIVIDADES - GASTOS DIVERSOS</t>
  </si>
  <si>
    <t>6105.4.39.01</t>
  </si>
  <si>
    <t>6105.4.39.01.000.001</t>
  </si>
  <si>
    <t>6105.5</t>
  </si>
  <si>
    <t>6105.5.01</t>
  </si>
  <si>
    <t>ENERGIA COMPRADA PARA REVENDA</t>
  </si>
  <si>
    <t>6105.5.01.01</t>
  </si>
  <si>
    <t>SUPRIMENTO DE ENERGIA ELÉTRICA</t>
  </si>
  <si>
    <t>6105.5.01.01.510</t>
  </si>
  <si>
    <t>6105.5.01.01.510.001</t>
  </si>
  <si>
    <t>BAESA ENERGÉTICA BARRA GRANDE S</t>
  </si>
  <si>
    <t>6105.5.01.01.510.018</t>
  </si>
  <si>
    <t>CCEE - RISCO HIDROLÓGICO</t>
  </si>
  <si>
    <t>6105.5.01.01.510.054</t>
  </si>
  <si>
    <t>ENERGIA ELÉTRICA COMPRADA PARA REVENDA</t>
  </si>
  <si>
    <t>RE - TUSD</t>
  </si>
  <si>
    <t>6111</t>
  </si>
  <si>
    <t>OUTRAS RECEITAS OPERACIONAIS</t>
  </si>
  <si>
    <t>6111.1</t>
  </si>
  <si>
    <t xml:space="preserve">ATIVIDADES NÃO VINCULADAS À CONCESSÃO DO SERVIÇO PÚBLICO DE </t>
  </si>
  <si>
    <t>6111.1.21</t>
  </si>
  <si>
    <t>DEMAIS RECEITAS E RENDAS</t>
  </si>
  <si>
    <t>6111.1.21.01</t>
  </si>
  <si>
    <t>6111.1.21.01.001.002</t>
  </si>
  <si>
    <t>6111.1.21.99</t>
  </si>
  <si>
    <t>6111.1.21.99.001</t>
  </si>
  <si>
    <t xml:space="preserve">OUTRAS RECEITAS </t>
  </si>
  <si>
    <t>6111.1.21.99.001.003</t>
  </si>
  <si>
    <t>OUTRAS RECEITAS</t>
  </si>
  <si>
    <t>6111.1.21.99.001.005</t>
  </si>
  <si>
    <t>RECEITAS RESULTANTES DE SALDOS RESIDUAIS</t>
  </si>
  <si>
    <t>6111.1.21.99.001.006</t>
  </si>
  <si>
    <t>PRESTAÇÃO DE SERVIÇOS - COMERCIALIZAÇÃO</t>
  </si>
  <si>
    <t>6111.1.21.99.001.007</t>
  </si>
  <si>
    <t>6111.1.30</t>
  </si>
  <si>
    <t>6111.1.30.01</t>
  </si>
  <si>
    <t>6111.1.30.01.001.001</t>
  </si>
  <si>
    <t>6111.1.30.02</t>
  </si>
  <si>
    <t>6111.1.30.02.001.001</t>
  </si>
  <si>
    <t>6111.1.30.06</t>
  </si>
  <si>
    <t>6111.1.30.06.001.001</t>
  </si>
  <si>
    <t>ISSQN - COMERCIALIZAÇÃO</t>
  </si>
  <si>
    <t>6115</t>
  </si>
  <si>
    <t>(-) OUTROS GASTOS OPERACIONAIS</t>
  </si>
  <si>
    <t>6115.1</t>
  </si>
  <si>
    <t>6115.1.19</t>
  </si>
  <si>
    <t>6115.1.19.99</t>
  </si>
  <si>
    <t>6115.1.19.99.001</t>
  </si>
  <si>
    <t>OUTRAS DESPESAS</t>
  </si>
  <si>
    <t>6200</t>
  </si>
  <si>
    <t>RESULTADO DE EQUIVALÊNCIA PATRIMONIAL</t>
  </si>
  <si>
    <t>6201</t>
  </si>
  <si>
    <t>EQUIVALÊNCIA PATRIMONIAL</t>
  </si>
  <si>
    <t>6201.5</t>
  </si>
  <si>
    <t>6201.5.01</t>
  </si>
  <si>
    <t>GANHO NA EQUIVALÊNCIA PATRIMONIAL</t>
  </si>
  <si>
    <t>6201.5.01.01</t>
  </si>
  <si>
    <t>GANHO DE EQUIVALÊNCIA PATRIMONIAL</t>
  </si>
  <si>
    <t>6201.5.01.01.001.001</t>
  </si>
  <si>
    <t>6201.5.01.01.001.002</t>
  </si>
  <si>
    <t>6201.5.01.01.001.003</t>
  </si>
  <si>
    <t>6201.5.02</t>
  </si>
  <si>
    <t>(-) PERDA NA EQUIVALÊNCIA PATRIMONIAL</t>
  </si>
  <si>
    <t>6201.5.02.01</t>
  </si>
  <si>
    <t>(-) PERDA DE EQUIVALÊNCIA PATRIMONIAL</t>
  </si>
  <si>
    <t>6201.5.02.01.001.001</t>
  </si>
  <si>
    <t>6201.5.02.01.001.002</t>
  </si>
  <si>
    <t>6300</t>
  </si>
  <si>
    <t>RESULTADO FINANCEIRO</t>
  </si>
  <si>
    <t>6301</t>
  </si>
  <si>
    <t>RECEITAS FINANCEIRAS</t>
  </si>
  <si>
    <t>6301.1</t>
  </si>
  <si>
    <t>6301.1.01</t>
  </si>
  <si>
    <t>RECEITA COM APLICAÇÕES FINANCEIRAS</t>
  </si>
  <si>
    <t>6301.1.01.01</t>
  </si>
  <si>
    <t>6301.1.01.01.003</t>
  </si>
  <si>
    <t>6301.1.01.01.003.001</t>
  </si>
  <si>
    <t>RENDIMENTO FINANCEIRO</t>
  </si>
  <si>
    <t>6301.1.21</t>
  </si>
  <si>
    <t>TRANSFERÊNCIA DA ADMINISTRAÇÃO CENTRAL - RECEITA COM APLICAÇ</t>
  </si>
  <si>
    <t>6301.1.21.00.000.001</t>
  </si>
  <si>
    <t>6301.1.23</t>
  </si>
  <si>
    <t>TRANSFERÊNCIA DA ADMINISTRAÇÃO CENTRAL - MULTAS E ACRÉSCIMOS</t>
  </si>
  <si>
    <t>6301.1.23.00.000.001</t>
  </si>
  <si>
    <t>6301.1.31</t>
  </si>
  <si>
    <t xml:space="preserve">TRANSFERÊNCIA DA ADMINISTRAÇÃO CENTRAL - (-) TRIBUTOS SOBRE </t>
  </si>
  <si>
    <t>6301.1.31.00.000.001</t>
  </si>
  <si>
    <t>6301.1.32</t>
  </si>
  <si>
    <t>TRANSFERÊNCIA DA ADMINISTRAÇÃO CENTRAL - OUTRAS RECEITAS FIN</t>
  </si>
  <si>
    <t>6301.1.32.00.000.001</t>
  </si>
  <si>
    <t>OUTRAS RECEITAS FINANCEIRAS</t>
  </si>
  <si>
    <t>RENDAS</t>
  </si>
  <si>
    <t>6301.4</t>
  </si>
  <si>
    <t>6301.4.01</t>
  </si>
  <si>
    <t>6301.4.01.01.001</t>
  </si>
  <si>
    <t>6301.4.01.01.001.001</t>
  </si>
  <si>
    <t>6301.4.03</t>
  </si>
  <si>
    <t>MULTAS E ACRÉSCIMOS MORATÓRIOS</t>
  </si>
  <si>
    <t>6301.4.03.01.001</t>
  </si>
  <si>
    <t>6301.4.03.01.001.001</t>
  </si>
  <si>
    <t>JUROS ATIVOS</t>
  </si>
  <si>
    <t>6301.4.11</t>
  </si>
  <si>
    <t>(-) TRIBUTOS SOBRE RECEITAS FINANCEIRAS</t>
  </si>
  <si>
    <t>6301.4.11.01</t>
  </si>
  <si>
    <t>6301.4.11.01.001</t>
  </si>
  <si>
    <t>6301.4.11.01.001.001</t>
  </si>
  <si>
    <t>6301.4.11.01.001.002</t>
  </si>
  <si>
    <t>6301.4.11.01.001.003</t>
  </si>
  <si>
    <t>IOF</t>
  </si>
  <si>
    <t>6301.4.21</t>
  </si>
  <si>
    <t xml:space="preserve">(-) TRANSFERÊNCIA PARA A ATIVIDADE - RECEITA COM APLICAÇÕES </t>
  </si>
  <si>
    <t>6301.4.21.01</t>
  </si>
  <si>
    <t>6301.4.21.01.000.001</t>
  </si>
  <si>
    <t>TRANSFERENCIA PARA ATIVIDADES - GERAÇÃO</t>
  </si>
  <si>
    <t>6301.4.23</t>
  </si>
  <si>
    <t>(-) TRANSFERÊNCIA PARA A ATIVIDADE - MULTAS E ACRÉSCIMOS MOR</t>
  </si>
  <si>
    <t>6301.4.23.01</t>
  </si>
  <si>
    <t>6301.4.23.01.000.001</t>
  </si>
  <si>
    <t>6301.4.31</t>
  </si>
  <si>
    <t>(-) TRANSFERÊNCIA PARA A ATIVIDADE - (-) TRIBUTOS SOBRE RECE</t>
  </si>
  <si>
    <t>6301.4.31.01</t>
  </si>
  <si>
    <t>6301.4.31.01.000.001</t>
  </si>
  <si>
    <t>6301.4.32</t>
  </si>
  <si>
    <t>(-) TRANSFERÊNCIA PARA A ATIVIDADE - OUTRAS RECEITAS FINANCE</t>
  </si>
  <si>
    <t>6301.4.32.01</t>
  </si>
  <si>
    <t>6301.4.32.01.000.001</t>
  </si>
  <si>
    <t>6301.4.99</t>
  </si>
  <si>
    <t>6301.4.99.01</t>
  </si>
  <si>
    <t>6301.4.99.01.001</t>
  </si>
  <si>
    <t>6305</t>
  </si>
  <si>
    <t>(-) DESPESAS FINANCEIRAS</t>
  </si>
  <si>
    <t>6305.1</t>
  </si>
  <si>
    <t>6305.1.03</t>
  </si>
  <si>
    <t>6305.1.03.01.003</t>
  </si>
  <si>
    <t>6305.1.03.01.003.001</t>
  </si>
  <si>
    <t>MULTAS E ACRÉSCIMOS MORATÓRIOS - UHE SALTO PILÃO</t>
  </si>
  <si>
    <t>6305.1.11</t>
  </si>
  <si>
    <t>6305.1.11.01.003</t>
  </si>
  <si>
    <t>6305.1.11.01.003.001</t>
  </si>
  <si>
    <t>ENCARGOS FINANCEIROS - UBP - UHE SALTO PILÃO</t>
  </si>
  <si>
    <t>6305.1.11.01.003.002</t>
  </si>
  <si>
    <t>REMUNERAÇÃO SELIC-P&amp;D - SALTO PILÃO</t>
  </si>
  <si>
    <t>6305.1.11.01.003.003</t>
  </si>
  <si>
    <t>USO DO BEM PUBLICO - UBP - AVP</t>
  </si>
  <si>
    <t>6305.1.23</t>
  </si>
  <si>
    <t>6305.1.23.00.000.001</t>
  </si>
  <si>
    <t>6305.1.29</t>
  </si>
  <si>
    <t>TRANSFERÊNCIA DA ADMINISTRAÇÃO CENTRAL - JUROS SOBRE CAPITAL</t>
  </si>
  <si>
    <t>6305.1.29.00.000.001</t>
  </si>
  <si>
    <t>6305.1.99</t>
  </si>
  <si>
    <t>OUTRAS DESPESAS FINANCEIRAS</t>
  </si>
  <si>
    <t>6305.1.99.09</t>
  </si>
  <si>
    <t>6305.1.99.09.004</t>
  </si>
  <si>
    <t>6305.1.99.09.004.001</t>
  </si>
  <si>
    <t>REMUNERAÇÃO SELIC - P&amp;D - UHE ANTAS I</t>
  </si>
  <si>
    <t>6305.4</t>
  </si>
  <si>
    <t>6305.4.03</t>
  </si>
  <si>
    <t>6305.4.03.00.000.003</t>
  </si>
  <si>
    <t>MULTAS/JUROS SOBRE IMPOSTOS</t>
  </si>
  <si>
    <t>6305.4.03.00.000.008</t>
  </si>
  <si>
    <t>MULTAS - ATRASO</t>
  </si>
  <si>
    <t>6305.4.09</t>
  </si>
  <si>
    <t>JUROS SOBRE CAPITAL PRÓPRIO</t>
  </si>
  <si>
    <t>6305.4.09.00.000.014</t>
  </si>
  <si>
    <t>JUROS SOBRE CAPITAL PRÓPRIO PROPOSTOS NO EXERCÍCIO</t>
  </si>
  <si>
    <t>6305.4.23</t>
  </si>
  <si>
    <t>6305.4.23.01</t>
  </si>
  <si>
    <t>6305.4.23.01.000.001</t>
  </si>
  <si>
    <t>6305.4.29</t>
  </si>
  <si>
    <t>(-) TRANSFERÊNCIA PARA A ATIVIDADE - JUROS SOBRE CAPITAL PRÓ</t>
  </si>
  <si>
    <t>6305.4.29.01</t>
  </si>
  <si>
    <t>6305.4.29.01.000.001</t>
  </si>
  <si>
    <t>7000</t>
  </si>
  <si>
    <t>LUCRO (PREJUÍZO) LÍQUIDO DO EXERCÍCIO</t>
  </si>
  <si>
    <t>7500</t>
  </si>
  <si>
    <t>IMPOSTO DE RENDA E CONTRIBUIÇÃO SOCIAL</t>
  </si>
  <si>
    <t>7501</t>
  </si>
  <si>
    <t>7501.1</t>
  </si>
  <si>
    <t>7501.1.01</t>
  </si>
  <si>
    <t>(-) CONTRIBUIÇÃO SOCIAL CORRENTE</t>
  </si>
  <si>
    <t>7501.1.01.00.001.001</t>
  </si>
  <si>
    <t>7501.1.02</t>
  </si>
  <si>
    <t>(-) IMPOSTO DE RENDA CORRENTE</t>
  </si>
  <si>
    <t>7501.1.02.00.000.001</t>
  </si>
  <si>
    <t>7700</t>
  </si>
  <si>
    <t>REVERSÃO DOS JUROS SOBRE O CAPITAL PRÓPRIO E TRIBUTOS</t>
  </si>
  <si>
    <t>7701</t>
  </si>
  <si>
    <t>7701.1</t>
  </si>
  <si>
    <t>7701.1.01</t>
  </si>
  <si>
    <t>REVERSÃO DOS JUROS SOBRE O CAPITAL PRÓPRIO</t>
  </si>
  <si>
    <t>7701.1.01.00.000.001</t>
  </si>
  <si>
    <t>DME Energética S.A</t>
  </si>
  <si>
    <t>(Em milhares de Reais)</t>
  </si>
  <si>
    <t>Fornecedores - Partes relacionadas</t>
  </si>
  <si>
    <t>Contas a Receber</t>
  </si>
  <si>
    <t xml:space="preserve">Outros Créditos </t>
  </si>
  <si>
    <t>Total do passivo</t>
  </si>
  <si>
    <t>As notas explicativas são parte integrante das demonstrações financeiras.</t>
  </si>
  <si>
    <t>DME Energética S.A.</t>
  </si>
  <si>
    <t>Demonstrações de resultados</t>
  </si>
  <si>
    <t>check balanço</t>
  </si>
  <si>
    <t>APÓS CONFERIR COM BALANCETE</t>
  </si>
  <si>
    <t>CHECK BALANÇO</t>
  </si>
  <si>
    <t>ECEL- Eletron Comercializadora de Energia Ltda</t>
  </si>
  <si>
    <t>Ferrero do Brasil Industria Doceira e Alimentar Ltda</t>
  </si>
  <si>
    <t>Trinity Comercializadora de Energia Elétrica Ltda</t>
  </si>
  <si>
    <t>check balanço circulante</t>
  </si>
  <si>
    <t>check balanço não circulante</t>
  </si>
  <si>
    <t>dados das empresas</t>
  </si>
  <si>
    <t>check DRE</t>
  </si>
  <si>
    <t>conforme dividendos razão 1220 de 31.12</t>
  </si>
  <si>
    <t>Lucro líquido do período</t>
  </si>
  <si>
    <t>OBS: ABRIR VALORES DA CONTA 6105.5.01.01.510.054</t>
  </si>
  <si>
    <t>DME Energetica S.A. - DMEE</t>
  </si>
  <si>
    <t>CNPJ: 03966583000106</t>
  </si>
  <si>
    <t>RAZÃO</t>
  </si>
  <si>
    <t>Folha:</t>
  </si>
  <si>
    <t>Data</t>
  </si>
  <si>
    <t>Lote</t>
  </si>
  <si>
    <t>Histórico</t>
  </si>
  <si>
    <t>Contrapartida detalhada</t>
  </si>
  <si>
    <t>Origem</t>
  </si>
  <si>
    <t>Débito</t>
  </si>
  <si>
    <t>Crédito</t>
  </si>
  <si>
    <t>Saldo</t>
  </si>
  <si>
    <t>Conta: 1992 - 6105.5.01.01.510.054         ENERGIA ELÉTRICA COMPRADA PARA REVENDA</t>
  </si>
  <si>
    <t/>
  </si>
  <si>
    <t>SALDO ANTERIOR</t>
  </si>
  <si>
    <t>NF entrada</t>
  </si>
  <si>
    <t>Total mês:</t>
  </si>
  <si>
    <t>Totais:</t>
  </si>
  <si>
    <t>2105.2.01.01.001.001</t>
  </si>
  <si>
    <t>ICMS - DIFERENÇA DE ALÍQUOTA/SUBST TRIBUTÁRIA</t>
  </si>
  <si>
    <t>1107.2.01.01</t>
  </si>
  <si>
    <t>1107.2.01.01.000.001</t>
  </si>
  <si>
    <t>1232.1.03.07</t>
  </si>
  <si>
    <t>A RATEAR</t>
  </si>
  <si>
    <t>1232.1.03.07.002</t>
  </si>
  <si>
    <t>1232.1.03.07.002.009</t>
  </si>
  <si>
    <t>AQUISIÇÕES A IMOBILIZAR</t>
  </si>
  <si>
    <t>2101.3.03.01.001.221</t>
  </si>
  <si>
    <t>ERNST &amp; YOUNG AUDITORES INDEPENDENTES S/S</t>
  </si>
  <si>
    <t>2119.4.01.01.001.007</t>
  </si>
  <si>
    <t>PROTAQUIONS AUTOMAÇÃO E SISTEMAS LTDA - ME</t>
  </si>
  <si>
    <t>6105.1.07.01.110.026</t>
  </si>
  <si>
    <t>SERVIÇOS DE CHAVEIRO</t>
  </si>
  <si>
    <t>1119.1.12</t>
  </si>
  <si>
    <t>DIVIDENDOS E JUROS SOBRE CAPITAL PRÓPRIO A RECEBER</t>
  </si>
  <si>
    <t>1119.1.12.00.000.002</t>
  </si>
  <si>
    <t>DIVIDENDOS A RECEBER - ETAU</t>
  </si>
  <si>
    <t>1119.1.12.00.000.003</t>
  </si>
  <si>
    <t>DIVIDENDOS A RECEBER - BAESA</t>
  </si>
  <si>
    <t>2101.3.03.01.001.220</t>
  </si>
  <si>
    <t>ELLO´S SERVICOS E LOCACAO LTDA</t>
  </si>
  <si>
    <t>2101.3.03.01.001.432</t>
  </si>
  <si>
    <t>LUIZA RODRIGUES COLARES</t>
  </si>
  <si>
    <t>2101.4.01.01.001.025</t>
  </si>
  <si>
    <t>2103.1.02.01.001.003</t>
  </si>
  <si>
    <t>13º SALÁRIO DIRETORES</t>
  </si>
  <si>
    <t>2206</t>
  </si>
  <si>
    <t>2206.1</t>
  </si>
  <si>
    <t>TRABALHISTAS</t>
  </si>
  <si>
    <t>2206.1.00.00.002</t>
  </si>
  <si>
    <t>2206.1.00.00.002.001</t>
  </si>
  <si>
    <t>PROVISÃO PARA LITIGIOS TRABALHISTAS</t>
  </si>
  <si>
    <t>2404.9.01.01.001.012</t>
  </si>
  <si>
    <t>RESERVA DE LUCRO DO EXERCÍCIO/2016</t>
  </si>
  <si>
    <t>2404.9.01.01.001.019</t>
  </si>
  <si>
    <t>RESERVA DE LUCRO DO EXERCICIO/2018</t>
  </si>
  <si>
    <t>2406.1.01.01.001.021</t>
  </si>
  <si>
    <t>LUCRO DO EXERCICIO DE 2018</t>
  </si>
  <si>
    <t>6105.1.07.01.130.020</t>
  </si>
  <si>
    <t>MATERIAL DE CANTINA</t>
  </si>
  <si>
    <t>SERVIÇOS DE LIMPEZA, MANUTENÇÃO E CONSERVAÇÃO</t>
  </si>
  <si>
    <t>6105.1.08.01.130.086</t>
  </si>
  <si>
    <t>6105.1.12</t>
  </si>
  <si>
    <t>6105.4.07.01.410.004</t>
  </si>
  <si>
    <t>SERVIÇOS DE MANUTENÇÃO DE MÁQUINAS E EQUIPAMENTOS</t>
  </si>
  <si>
    <t>SERVIÇOS DE TERCEIROS - CARTÓRIOS</t>
  </si>
  <si>
    <t>6301.4.99.01.001.011</t>
  </si>
  <si>
    <t>Capital social</t>
  </si>
  <si>
    <t>Provisão para Litigios</t>
  </si>
  <si>
    <t>Diferenças Temporárias</t>
  </si>
  <si>
    <t>1102.9.01.01.001.009</t>
  </si>
  <si>
    <t>LAMESA CABOS ELETRICOS LTDA</t>
  </si>
  <si>
    <t>1103.1.01.02.001.083</t>
  </si>
  <si>
    <t>EMPRESA LUZ E FORCA SANTA MARIA</t>
  </si>
  <si>
    <t>PRIME ENERGY COMERCIALIZADORA DE ENERGIA LTDA</t>
  </si>
  <si>
    <t>1103.1.01.02.001.104</t>
  </si>
  <si>
    <t>METALSA BRASIL INDUSTRIA E COMERCIO DE AUTPECAS LTDA.</t>
  </si>
  <si>
    <t>MANUTENÇÃO E CONSERVAÇÃO</t>
  </si>
  <si>
    <t>1107.2.01.01.000.003</t>
  </si>
  <si>
    <t>MANUTENÇÃO - ILUMINAÇÃO PÚBLICA</t>
  </si>
  <si>
    <t>1107.2.01.01.000.004</t>
  </si>
  <si>
    <t>ALMOXARIFADO MANUTENÇÃO VEÍCULOS</t>
  </si>
  <si>
    <t>1119.1.99.01.001.028</t>
  </si>
  <si>
    <t>PMPC - CIP</t>
  </si>
  <si>
    <t>2101.3.03.01.001.184</t>
  </si>
  <si>
    <t>DETROIT - LOCAÇÃO DE CAÇAMBAS E EQUIPAMENTOS LTDA.</t>
  </si>
  <si>
    <t>MARECHAL DEODORO PRESTAÇÃO DE SERVIÇOS LTDA</t>
  </si>
  <si>
    <t>2101.3.03.01.001.678</t>
  </si>
  <si>
    <t>RH ENGENHARIA LTDA</t>
  </si>
  <si>
    <t>2101.3.03.01.001.723</t>
  </si>
  <si>
    <t>SALÁRIOS DIRETORES E CONSELHEIROS</t>
  </si>
  <si>
    <t>2119.4.01.01.001.008</t>
  </si>
  <si>
    <t>LUIZA RODRIGUES COLARES ME</t>
  </si>
  <si>
    <t>6101.5.01.03.001.005</t>
  </si>
  <si>
    <t>CCEE - VENDA DE ENERGIA MCP</t>
  </si>
  <si>
    <t>(-) CRÉDITOS RECUPERÁVEIS</t>
  </si>
  <si>
    <t>6105.1.02.01.130.002</t>
  </si>
  <si>
    <t>TUSD</t>
  </si>
  <si>
    <t>6105.1.07.01.110.004</t>
  </si>
  <si>
    <t>UTENSÍLIOS E FERRAMENTAS</t>
  </si>
  <si>
    <t>6105.1.08.01.130.085</t>
  </si>
  <si>
    <t>IPVA/DPVAT/TAXA DE LICENCIAMENTO</t>
  </si>
  <si>
    <t>6105.1.19.99.130</t>
  </si>
  <si>
    <t>6105.1.19.99.130.031</t>
  </si>
  <si>
    <t>6105.4.05.01.040</t>
  </si>
  <si>
    <t>ILUMINAÇÃO PÚBLICA</t>
  </si>
  <si>
    <t>6105.4.05.01.040.001</t>
  </si>
  <si>
    <t>6105.4.05.01.040.010</t>
  </si>
  <si>
    <t>6105.4.05.01.040.011</t>
  </si>
  <si>
    <t>6105.4.05.01.040.012</t>
  </si>
  <si>
    <t>6105.4.05.01.040.013</t>
  </si>
  <si>
    <t>6105.4.05.01.040.014</t>
  </si>
  <si>
    <t>6105.4.05.01.040.015</t>
  </si>
  <si>
    <t>6105.4.05.01.040.019</t>
  </si>
  <si>
    <t>6105.4.05.01.040.028</t>
  </si>
  <si>
    <t>6105.4.05.01.040.045</t>
  </si>
  <si>
    <t>6105.4.05.02.040</t>
  </si>
  <si>
    <t>6105.4.05.02.040.004</t>
  </si>
  <si>
    <t>6105.4.05.02.040.005</t>
  </si>
  <si>
    <t>6105.4.05.03.040</t>
  </si>
  <si>
    <t>6105.4.05.03.040.022</t>
  </si>
  <si>
    <t>6105.4.05.07.040.040</t>
  </si>
  <si>
    <t>6105.4.05.08.040</t>
  </si>
  <si>
    <t>6105.4.05.08.040.006</t>
  </si>
  <si>
    <t>6105.4.05.08.040.007</t>
  </si>
  <si>
    <t>6105.4.05.08.040.008</t>
  </si>
  <si>
    <t>6105.4.05.08.040.029</t>
  </si>
  <si>
    <t>SALÁRIOS DIRETORIA E CONSELHO</t>
  </si>
  <si>
    <t>6105.4.06.02.410.038</t>
  </si>
  <si>
    <t>6105.4.07.01.040</t>
  </si>
  <si>
    <t>6105.4.07.01.040.044</t>
  </si>
  <si>
    <t>6105.4.07.01.040.045</t>
  </si>
  <si>
    <t>MATERIAL- PROJETOS DE REFORMA/AMPLIAÇÕES SIST. ILUM. PÚBLICA</t>
  </si>
  <si>
    <t>6105.4.07.01.040.046</t>
  </si>
  <si>
    <t>MATERIAL P/ ATENDIMENTOS A OFÍCIOS E SOLICITAÇÕES DA P.M.P.C</t>
  </si>
  <si>
    <t>6105.4.07.01.410.001</t>
  </si>
  <si>
    <t>6105.4.07.01.410.020</t>
  </si>
  <si>
    <t>6105.4.08.01.040</t>
  </si>
  <si>
    <t>6105.4.08.01.040.104</t>
  </si>
  <si>
    <t>SERVIÇOS PRESTADOS PARA MANUTENÇÃO DA ILUMINAÇÃO PÚBLICA</t>
  </si>
  <si>
    <t>6105.4.08.01.410.028</t>
  </si>
  <si>
    <t>SERVIÇOS MANUTENÇÃO DE VEÍCULOS</t>
  </si>
  <si>
    <t>6105.4.08.01.410.056</t>
  </si>
  <si>
    <t>SERVIÇOS DE AUDITORIA</t>
  </si>
  <si>
    <t>6105.4.08.01.410.069</t>
  </si>
  <si>
    <t>SERVIÇOS DE TERCEIROS - HONORÁRIOS ADVOCATÍCIOS</t>
  </si>
  <si>
    <t>6105.4.08.01.410.090</t>
  </si>
  <si>
    <t>SERVIÇOS DE TERCEIROS - PLATAFORMA ELETRÔNICA</t>
  </si>
  <si>
    <t>6105.4.10.01.410.002</t>
  </si>
  <si>
    <t>6105.4.15</t>
  </si>
  <si>
    <t>6105.4.15.01</t>
  </si>
  <si>
    <t>6105.4.15.01.410</t>
  </si>
  <si>
    <t>6105.4.19.99.410.076</t>
  </si>
  <si>
    <t>TAXAS JUDICIÁRIAS E CUSTOS PROCESSUAIS</t>
  </si>
  <si>
    <t>6105.5.01.01.510.055</t>
  </si>
  <si>
    <t>CCEE - EFEITO DE CONTRATAÇÃO COTAS DE GARANTIA FISICA</t>
  </si>
  <si>
    <t>6111.1.20</t>
  </si>
  <si>
    <t>RENDAS DA PRESTAÇÃO DE SERVIÇOS</t>
  </si>
  <si>
    <t>6111.1.20.05</t>
  </si>
  <si>
    <t>SERVIÇOS DE OPERAÇÃO E MANUTENÇÃO</t>
  </si>
  <si>
    <t>6111.1.20.05.000.001</t>
  </si>
  <si>
    <t>SERVIÇOS DE OPERAÇÃO E MANUTENÇÃO - IP</t>
  </si>
  <si>
    <t>6111.1.21.02</t>
  </si>
  <si>
    <t>DOAÇÕES, CONTRIBUIÇÕES E SUBVENÇÕES NÃO VINCULADAS</t>
  </si>
  <si>
    <t>6111.1.21.02.001.001</t>
  </si>
  <si>
    <t>GANHO - ESTOQUE DE MANUTENÇÃO ILUMINAÇÃO PÚBLICA</t>
  </si>
  <si>
    <t>Cemig Geração e Transmissão S.A</t>
  </si>
  <si>
    <t>Empresa Luz e Força Santa Maria</t>
  </si>
  <si>
    <t>Prime Energy comercializadora de Energia Ltda</t>
  </si>
  <si>
    <t>1103.3.01.01.510</t>
  </si>
  <si>
    <t>ENERGIA ELÉTRICA COMERCIALIZAÇÃO</t>
  </si>
  <si>
    <t>1103.3.01.01.510.020</t>
  </si>
  <si>
    <t>1107.3</t>
  </si>
  <si>
    <t>COMPRAS EM CURSO</t>
  </si>
  <si>
    <t>1107.3.03</t>
  </si>
  <si>
    <t>COMPRA EM CURSO</t>
  </si>
  <si>
    <t>1107.3.03.00.000.001</t>
  </si>
  <si>
    <t>6101.5.01.03.510</t>
  </si>
  <si>
    <t>6101.5.01.03.510.001</t>
  </si>
  <si>
    <t>ENERGIA ELÉTRICA TERCEIROS</t>
  </si>
  <si>
    <t>6101.5.30.01.510</t>
  </si>
  <si>
    <t>6101.5.30.01.510.001</t>
  </si>
  <si>
    <t>PIS COMERCIALIZAÇÃO</t>
  </si>
  <si>
    <t>6101.5.30.02.510</t>
  </si>
  <si>
    <t>6101.5.30.02.510.001</t>
  </si>
  <si>
    <t>COFINS COMERCIALIZAÇÃO</t>
  </si>
  <si>
    <t>6105.1.07.01.110.020</t>
  </si>
  <si>
    <t>6105.1.08.01.110.061</t>
  </si>
  <si>
    <t>SERVIÇOS DE MANUTENÇÃO MECANICA E ELETROMECANICA</t>
  </si>
  <si>
    <t>6105.1.15.01</t>
  </si>
  <si>
    <t>6105.1.15.01.120</t>
  </si>
  <si>
    <t>6105.4.07.01.040.027</t>
  </si>
  <si>
    <t>6105.5.01.01.510.003</t>
  </si>
  <si>
    <t>CCEE - LIQUIDAÇÃO DE ENERGIA - COMERCIAL</t>
  </si>
  <si>
    <t>6301.4.99.01.001.003</t>
  </si>
  <si>
    <t>DESCONTOS OBTIDOS</t>
  </si>
  <si>
    <t>DIVIDENDOS INTERCALARES:</t>
  </si>
  <si>
    <t>DEMONSTRAÇÃO DOS DIVIDENDOS INTERCALARES</t>
  </si>
  <si>
    <t>PERÍODO DE JANEIRO A JUNHO DE 2019</t>
  </si>
  <si>
    <t>Lucro Liquido da DMEE (janeiro a junho/19)</t>
  </si>
  <si>
    <t>(-) Reserva legal 5%</t>
  </si>
  <si>
    <t>Lucro Liquido Ajustado</t>
  </si>
  <si>
    <t>50% do Lucro Liquido Ajustado</t>
  </si>
  <si>
    <t>Dividendos Obrigatórios (25%)</t>
  </si>
  <si>
    <t>Dividendos Adicionais/Intercalares</t>
  </si>
  <si>
    <t>Em 2018 o saldo residual de 5.743 refere-se a saldo negativo de IRPJ de 2018, o qual só pode ser compensado após o envio da ECF, bem como, Provisão de</t>
  </si>
  <si>
    <t>IRRF de aplicações financeiras que são contabilizados e estornados, não cabendo tal compensação.</t>
  </si>
  <si>
    <t xml:space="preserve">na Useall pelo RH, e será ajustado na contabilidade após retorno dos mesmos. Este montante é de R$ 573 mil e para não impactar de forma "equivocada" a despesa, </t>
  </si>
  <si>
    <t>foi contabilizada em outros ativos circulantes, até que a Useall "corrija" a divergencia do referido relatório.</t>
  </si>
  <si>
    <t>Explicações das Variações no Ativo:</t>
  </si>
  <si>
    <t>.</t>
  </si>
  <si>
    <t>Explicações das Variações no Passivo:</t>
  </si>
  <si>
    <t xml:space="preserve">tendo em vista, a apuração na DMEE ser por receita Bruta, no final do exercicio, as contas do passivo (impostos e contribuições sociais) </t>
  </si>
  <si>
    <t>serão compensadas com as do ativo, eliminando desta forma os saldos de IRPJ e CSLL, bem como, será demonstrado na oportunidade se haverá saldo negativo a ser compensado.</t>
  </si>
  <si>
    <t>Vale mencionar que o saldo de 2018, refere-se aos impostos cujo recolhimento ocorreu em janeiro/19.</t>
  </si>
  <si>
    <t>encargos setoriais de 209 mil e outros passivos como por exemplo caução em garantia de 18 mil.</t>
  </si>
  <si>
    <t>No caso da provisão civel, a mesma será atualizada pela AJ no final do exercicio.</t>
  </si>
  <si>
    <t>1101.1.02.01.001.014</t>
  </si>
  <si>
    <t>BANCO BRADESCO C/C 0261508-8 - AGENCIA 0514</t>
  </si>
  <si>
    <t>1101.2.01.01.001.014</t>
  </si>
  <si>
    <t>BANCO BRADESCO - CDB/RDB</t>
  </si>
  <si>
    <t>1102.9.01.01.001.010</t>
  </si>
  <si>
    <t>COMERC COMERCIALIZADORA DE ENERGIA ELETRICA LTDA</t>
  </si>
  <si>
    <t>1104</t>
  </si>
  <si>
    <t>SERVIÇOS EM CURSO</t>
  </si>
  <si>
    <t>1104.1</t>
  </si>
  <si>
    <t>SERVIÇO PRÓPRIO</t>
  </si>
  <si>
    <t>1104.1.01</t>
  </si>
  <si>
    <t>SERVIÇOS PRÓPRIO</t>
  </si>
  <si>
    <t>1104.1.01.00.000.007</t>
  </si>
  <si>
    <t>SERVIÇOS EM CURSO P&amp;D ODS 224 PROCESSO 552/2019</t>
  </si>
  <si>
    <t>1105.1.01.01.002</t>
  </si>
  <si>
    <t>1105.1.01.01.002.001</t>
  </si>
  <si>
    <t>IMPOSTO DE RENDA A RECUPERAR - UHE SALTO PILÃO</t>
  </si>
  <si>
    <t>1119.1.01.01.002</t>
  </si>
  <si>
    <t>1119.1.01.01.002.003</t>
  </si>
  <si>
    <t>ADIANTAMENTO DE FÉRIAS/ RESCISOES/DECIMO TERCEIRO</t>
  </si>
  <si>
    <t>1205</t>
  </si>
  <si>
    <t>1205.1</t>
  </si>
  <si>
    <t>1205.1.99</t>
  </si>
  <si>
    <t>1205.1.99.01</t>
  </si>
  <si>
    <t xml:space="preserve">INCENTIVOS FISCAIS </t>
  </si>
  <si>
    <t>1232.4.01.04.001.006</t>
  </si>
  <si>
    <t>EQUIPAMENTOS ILUMINAÇÃO PÚBLICA</t>
  </si>
  <si>
    <t>1232.4.01.05.001.002</t>
  </si>
  <si>
    <t>VEÍCULOS - ILUMINAÇÃO PÚBLICA</t>
  </si>
  <si>
    <t>1232.4.02.05.001.002</t>
  </si>
  <si>
    <t>1232.4.03.01</t>
  </si>
  <si>
    <t>1232.4.03.01.001.001</t>
  </si>
  <si>
    <t>1233.3</t>
  </si>
  <si>
    <t>DISTRIBUIÇÃO</t>
  </si>
  <si>
    <t>1233.3.03</t>
  </si>
  <si>
    <t>LINHAS, REDES E SUBESTAÇÕES - INTANGÍVEL EM CURSO</t>
  </si>
  <si>
    <t>1233.3.03.01</t>
  </si>
  <si>
    <t>SERVIDÕES</t>
  </si>
  <si>
    <t>1233.3.03.01.001.001</t>
  </si>
  <si>
    <t>SOFTWARE A RATEAR</t>
  </si>
  <si>
    <t>2101.3.03.01.001.341</t>
  </si>
  <si>
    <t>IRINEU VITORIANO DO NASCIMENTO JUNIOR - ME</t>
  </si>
  <si>
    <t>2101.3.03.01.001.352</t>
  </si>
  <si>
    <t>IRMÃOS RAYDAN LTDA</t>
  </si>
  <si>
    <t>2101.3.03.01.001.466</t>
  </si>
  <si>
    <t>LOPES &amp; COSTA APOIO ADMINISTRATIVO LTDA</t>
  </si>
  <si>
    <t>2101.3.03.01.001.479</t>
  </si>
  <si>
    <t>LUCIANO AFFONSO JUNQUEIRA</t>
  </si>
  <si>
    <t>2101.3.03.01.001.667</t>
  </si>
  <si>
    <t>PAULO PACHECO DAMASCENO</t>
  </si>
  <si>
    <t>2101.3.03.01.001.670</t>
  </si>
  <si>
    <t>ENERGY PRICE CONSULTORIA LTDA.</t>
  </si>
  <si>
    <t>2101.3.03.01.001.698</t>
  </si>
  <si>
    <t>REFRIGERAÇÃO BASSO LTDA.</t>
  </si>
  <si>
    <t>2101.3.03.01.001.823</t>
  </si>
  <si>
    <t>MÁRCIA CRISTINA DE MORAES</t>
  </si>
  <si>
    <t>2101.3.03.01.001.824</t>
  </si>
  <si>
    <t>AGRO FONTE ALTA LTDA</t>
  </si>
  <si>
    <t>2101.4.01.01.001.014</t>
  </si>
  <si>
    <t>COMERC COMERCIALIZADORA DE ENERGIA ELÉTRICA LTDA.</t>
  </si>
  <si>
    <t>2101.4.01.01.001.026</t>
  </si>
  <si>
    <t>2107</t>
  </si>
  <si>
    <t>DIVIDENDOS DECLARADOS E JUROS SOBRE O CAPITAL PRÓPRIO</t>
  </si>
  <si>
    <t>2107.1</t>
  </si>
  <si>
    <t>DIVIDENDOS</t>
  </si>
  <si>
    <t>2107.1.00.00.000.001</t>
  </si>
  <si>
    <t>DIVIDENDOS - DME PARTICIPAÇÕES S.A.</t>
  </si>
  <si>
    <t>2119.4.01.01.001.010</t>
  </si>
  <si>
    <t>ENERGY PRICE CONSULTORIA</t>
  </si>
  <si>
    <t>USO DO BEM PÚBLICO - UBP LONGO PRAZO</t>
  </si>
  <si>
    <t>2404.9.01.01.001.022</t>
  </si>
  <si>
    <t>RESERVA DE LUCRO DO EXERCICIO DE 2019</t>
  </si>
  <si>
    <t>2406.1.01.01.001.001</t>
  </si>
  <si>
    <t>6101.1.30.04</t>
  </si>
  <si>
    <t>6101.1.30.04.000.001</t>
  </si>
  <si>
    <t>ICMS ST</t>
  </si>
  <si>
    <t>6105.1.02.01.110</t>
  </si>
  <si>
    <t>6105.1.02.01.110.002</t>
  </si>
  <si>
    <t>6105.1.05.99</t>
  </si>
  <si>
    <t>6105.1.05.99.130</t>
  </si>
  <si>
    <t>6105.1.05.99.130.038</t>
  </si>
  <si>
    <t>EPI - EQUIPAMENTO DE PROTEÇÃO INDIVIDUAL</t>
  </si>
  <si>
    <t>MATERIAL - MANUTENÇÃO DE MAQUINAS E EQTOS. DIVERSOS</t>
  </si>
  <si>
    <t>6105.1.07.01.110.002</t>
  </si>
  <si>
    <t>MATERIAL - REPARO. OP E MANUT MAQ. E EQUIP.</t>
  </si>
  <si>
    <t>MATERIAL - MANUTENÇÃO ELETROMECANICA</t>
  </si>
  <si>
    <t>MATERIAL - MANUTENÇÃO</t>
  </si>
  <si>
    <t>MATERIAL - MANUTENÇÃO DE MÁQUINAS E EQTOS DIVERSOS</t>
  </si>
  <si>
    <t>6105.1.07.01.130.010</t>
  </si>
  <si>
    <t>MATERIAL - MANUTENÇÃO DE VEÍCULOS</t>
  </si>
  <si>
    <t>SERVIÇOS - MANUTENÇÃO DE MÁQUINAS E EQUIPAMENTOS</t>
  </si>
  <si>
    <t>SERVIÇOS - MANUTENÇÃO DE MÁQUINAS E EQUIPAMENTOS DIVERSOS</t>
  </si>
  <si>
    <t>6105.1.08.01.130.028</t>
  </si>
  <si>
    <t>SERVIÇOS DE MANUTENÇÃO DE VEÍCULOS</t>
  </si>
  <si>
    <t>6105.1.08.01.130.061</t>
  </si>
  <si>
    <t>SERVIÇOS AMBIENTAIS</t>
  </si>
  <si>
    <t>6105.1.15.01.120.001</t>
  </si>
  <si>
    <t>6105.1.16.01.110</t>
  </si>
  <si>
    <t>6105.1.16.01.110.002</t>
  </si>
  <si>
    <t>ITR</t>
  </si>
  <si>
    <t>6105.1.16.01.130.002</t>
  </si>
  <si>
    <t>6105.4.05.08.410.054</t>
  </si>
  <si>
    <t>CIPA - COMISSÃO INTERNA DE PREVENÇÃO DE ACIDENTES</t>
  </si>
  <si>
    <t>6105.4.07.01.040.005</t>
  </si>
  <si>
    <t>MATERIAL - MANUTENÇÃO DA ILUMINAÇÃO PÚBLICA</t>
  </si>
  <si>
    <t>6105.4.07.01.410.003</t>
  </si>
  <si>
    <t>MATERIAL - MANUT. E CONS DE EDIFICAÇÕES</t>
  </si>
  <si>
    <t>MATERIAL - MANUTENÇÃO VEÍCULOS</t>
  </si>
  <si>
    <t>6105.4.07.99.040.006</t>
  </si>
  <si>
    <t>6105.4.07.99.410.009</t>
  </si>
  <si>
    <t>UTENSÍLIOS DE COPA/COZINHA</t>
  </si>
  <si>
    <t>6105.4.07.99.410.075</t>
  </si>
  <si>
    <t>INVENTÁRIO DE ESTOQUE (SEDE) - PERDAS/FALTAS</t>
  </si>
  <si>
    <t>6105.4.08.01.040.028</t>
  </si>
  <si>
    <t>6105.4.08.01.040.105</t>
  </si>
  <si>
    <t>TELEATENDIMENTO E ATENDIMENTO PRESENCIAL</t>
  </si>
  <si>
    <t>6105.4.08.01.040.106</t>
  </si>
  <si>
    <t>SERVIÇOS-PROJETOS E REFORMAS/AMPLIAÇÕES SIST. ILUM. PÚBLICA</t>
  </si>
  <si>
    <t>6105.4.08.01.040.110</t>
  </si>
  <si>
    <t>SERVIÇO DE DESCARTE E DESCONTAMINAÇÃO DE LÂMPADAS</t>
  </si>
  <si>
    <t>6105.4.08.01.410.036</t>
  </si>
  <si>
    <t>SEMINARIOS, CONGRESSOS E CURSOS</t>
  </si>
  <si>
    <t>6105.4.08.01.410.050</t>
  </si>
  <si>
    <t>SERVIÇO DE CERTIFICAÇÃO DIGITAL</t>
  </si>
  <si>
    <t>6105.4.08.01.410.086</t>
  </si>
  <si>
    <t>6105.4.08.01.410.101</t>
  </si>
  <si>
    <t>SERVIÇOS DE MANUTENÇÃO DE EQUIP. DE SEGURANÇA</t>
  </si>
  <si>
    <t>6105.4.08.01.410.112</t>
  </si>
  <si>
    <t>SERVIÇOS DE LAVANDERIA E TINTURARIA</t>
  </si>
  <si>
    <t>6105.4.16.01.410.002</t>
  </si>
  <si>
    <t>6105.4.17.01.040</t>
  </si>
  <si>
    <t>6105.4.17.01.040.001</t>
  </si>
  <si>
    <t>DEPRECIAÇÃO - ILUMINAÇÃO PÚBLICA</t>
  </si>
  <si>
    <t>6105.5.02</t>
  </si>
  <si>
    <t>6105.5.02.01</t>
  </si>
  <si>
    <t>6105.5.02.01.510.001</t>
  </si>
  <si>
    <t>6115.1.19.99.001.058</t>
  </si>
  <si>
    <t>DESPESAS RESULTANTES DE SALDOS RESIDUAIS</t>
  </si>
  <si>
    <t>6305.1.32</t>
  </si>
  <si>
    <t>TRANSFERÊNCIA DA ADMINISTRAÇÃO CENTRAL - OUTRAS DESPESAS FIN</t>
  </si>
  <si>
    <t>6305.1.32.00.000.001</t>
  </si>
  <si>
    <t>6305.1.99.09.003</t>
  </si>
  <si>
    <t>6305.1.99.09.003.007</t>
  </si>
  <si>
    <t>6305.4.32</t>
  </si>
  <si>
    <t>(-) TRANSFERÊNCIA PARA A ATIVIDADE - OUTRAS DESPESAS FINANCE</t>
  </si>
  <si>
    <t>6305.4.32.01</t>
  </si>
  <si>
    <t>6305.4.32.01.000.001</t>
  </si>
  <si>
    <t>6305.4.99</t>
  </si>
  <si>
    <t>6305.4.99.09</t>
  </si>
  <si>
    <t>6305.4.99.09.001</t>
  </si>
  <si>
    <t>6305.4.99.09.001.015</t>
  </si>
  <si>
    <t>7501.1.03</t>
  </si>
  <si>
    <t>CONTRIBUIÇÃO SOCIAL DIFERIDA</t>
  </si>
  <si>
    <t>7501.1.03.00.000.002</t>
  </si>
  <si>
    <t xml:space="preserve">CSLL </t>
  </si>
  <si>
    <t>7501.1.04</t>
  </si>
  <si>
    <t>IMPOSTO DE RENDA DIFERIDO</t>
  </si>
  <si>
    <t>7501.1.04.00.000.002</t>
  </si>
  <si>
    <t>31.12.2019</t>
  </si>
  <si>
    <t>Lamesa Cabos Elétricos Ltda</t>
  </si>
  <si>
    <t>Merito Comercialização de Energia Elétrica Ltda</t>
  </si>
  <si>
    <t>Equivalência patrimonial 2019</t>
  </si>
  <si>
    <t>Saldo 2019</t>
  </si>
  <si>
    <t>conforme conta 1220</t>
  </si>
  <si>
    <t>Serviços de Operação e Manutenção - IP</t>
  </si>
  <si>
    <t>(-) Créditos Recuperáveis</t>
  </si>
  <si>
    <t>Mérito Comercialização de Energia Ltda</t>
  </si>
  <si>
    <t>Safira Administração e Comercialização de Energia S.A</t>
  </si>
  <si>
    <t>Comerc Comercializadora de Energia Elétrica Ltda</t>
  </si>
  <si>
    <t>Outras receitas financeiras</t>
  </si>
  <si>
    <t>conforme DRE</t>
  </si>
  <si>
    <t>Certificados de Depósitos Bancários - CDB´s</t>
  </si>
  <si>
    <t xml:space="preserve">Pessoal </t>
  </si>
  <si>
    <t>16. Despesas Gerais e Administrativas</t>
  </si>
  <si>
    <t>Administradores</t>
  </si>
  <si>
    <t>Serviços de Terceiros</t>
  </si>
  <si>
    <t>Depreciação</t>
  </si>
  <si>
    <t>Outras Despesas Gerais e Administrativas</t>
  </si>
  <si>
    <t>Baixa de Investimento Pai Querê</t>
  </si>
  <si>
    <t>Outras Despesas Operacionais</t>
  </si>
  <si>
    <t>18. Receitas e despesas financeiras líquidas</t>
  </si>
  <si>
    <t>19. Imposto de renda e contribuição social correntes e diferidos</t>
  </si>
  <si>
    <t>20. Instrumentos financeiros</t>
  </si>
  <si>
    <t>03966583000106</t>
  </si>
  <si>
    <t>B A L A N C E T E</t>
  </si>
  <si>
    <t>Livro no.:</t>
  </si>
  <si>
    <t>Período:</t>
  </si>
  <si>
    <t>Classificação (reduzido)</t>
  </si>
  <si>
    <t>Descrição da conta</t>
  </si>
  <si>
    <t>Saldo Anterior</t>
  </si>
  <si>
    <t>Débitos</t>
  </si>
  <si>
    <t>Créditos</t>
  </si>
  <si>
    <t>Saldo Final</t>
  </si>
  <si>
    <t>6105.1.05.01.110.001 (10274)</t>
  </si>
  <si>
    <t>6105.1.05.01.110.010 (10025)</t>
  </si>
  <si>
    <t>6105.1.05.01.110.011 (10087)</t>
  </si>
  <si>
    <t>6105.1.05.01.110.012 (10210)</t>
  </si>
  <si>
    <t>6105.1.05.01.110.013 (10486)</t>
  </si>
  <si>
    <t>6105.1.05.01.110.014 (10487)</t>
  </si>
  <si>
    <t>6105.1.05.01.110.015 (10211)</t>
  </si>
  <si>
    <t>6105.1.05.01.110.019 (2163)</t>
  </si>
  <si>
    <t>6105.1.05.01.110.028 (2580)</t>
  </si>
  <si>
    <t>6105.1.05.01.110.045 (2194)</t>
  </si>
  <si>
    <t>6105.1.05.01.120.041 (783)</t>
  </si>
  <si>
    <t>6105.1.05.01.130.001 (2112)</t>
  </si>
  <si>
    <t>6105.1.05.01.130.010 (2113)</t>
  </si>
  <si>
    <t>6105.1.05.01.130.011 (2153)</t>
  </si>
  <si>
    <t>6105.1.05.01.130.012 (2114)</t>
  </si>
  <si>
    <t>6105.1.05.01.130.013 (2115)</t>
  </si>
  <si>
    <t>6105.1.05.01.130.014 (2131)</t>
  </si>
  <si>
    <t>6105.1.05.01.130.015 (2132)</t>
  </si>
  <si>
    <t>6105.1.05.01.130.019 (2149)</t>
  </si>
  <si>
    <t>6105.1.05.01.130.028 (2581)</t>
  </si>
  <si>
    <t>6105.1.05.01.130.045 (2133)</t>
  </si>
  <si>
    <t>6105.1.05.02.110.004 (10484)</t>
  </si>
  <si>
    <t>6105.1.05.02.110.005 (10344)</t>
  </si>
  <si>
    <t>6105.1.05.02.120.020 (448)</t>
  </si>
  <si>
    <t>6105.1.05.02.130.004 (2137)</t>
  </si>
  <si>
    <t>6105.1.05.02.130.005 (2297)</t>
  </si>
  <si>
    <t>6105.1.05.03.110.022 (2192)</t>
  </si>
  <si>
    <t>6105.1.05.03.120.022 (781)</t>
  </si>
  <si>
    <t>6105.1.05.03.130.022 (2167)</t>
  </si>
  <si>
    <t>6105.1.05.07.110.040 (2369)</t>
  </si>
  <si>
    <t>6105.1.05.07.120.040 (812)</t>
  </si>
  <si>
    <t>6105.1.05.07.130.040 (2381)</t>
  </si>
  <si>
    <t>6105.1.05.08.110.006 (10086)</t>
  </si>
  <si>
    <t>6105.1.05.08.110.007 (10209)</t>
  </si>
  <si>
    <t>6105.1.05.08.110.018 (2165)</t>
  </si>
  <si>
    <t>6105.1.05.08.110.029 (2162)</t>
  </si>
  <si>
    <t>6105.1.05.08.120.049 (784)</t>
  </si>
  <si>
    <t>6105.1.05.08.130.006 (2146)</t>
  </si>
  <si>
    <t>6105.1.05.08.130.007 (2139)</t>
  </si>
  <si>
    <t>6105.1.05.08.130.008 (2135)</t>
  </si>
  <si>
    <t>6105.1.05.08.130.018 (2147)</t>
  </si>
  <si>
    <t>6105.1.05.08.130.029 (2148)</t>
  </si>
  <si>
    <t>6105.1.05.99.130.038 (2971)</t>
  </si>
  <si>
    <t>6105.4.05.01.040.001 (2846)</t>
  </si>
  <si>
    <t>6105.4.05.01.040.010 (2849)</t>
  </si>
  <si>
    <t>6105.4.05.01.040.011 (2850)</t>
  </si>
  <si>
    <t>6105.4.05.01.040.012 (2851)</t>
  </si>
  <si>
    <t>6105.4.05.01.040.013 (2852)</t>
  </si>
  <si>
    <t>6105.4.05.01.040.014 (2853)</t>
  </si>
  <si>
    <t>6105.4.05.01.040.015 (2854)</t>
  </si>
  <si>
    <t>6105.4.05.01.040.019 (2855)</t>
  </si>
  <si>
    <t>6105.4.05.01.040.028 (2856)</t>
  </si>
  <si>
    <t>6105.4.05.01.040.045 (2857)</t>
  </si>
  <si>
    <t>6105.4.05.01.410.001 (10124)</t>
  </si>
  <si>
    <t>6105.4.05.01.410.010 (10125)</t>
  </si>
  <si>
    <t>6105.4.05.01.410.011 (10520)</t>
  </si>
  <si>
    <t>6105.4.05.01.410.012 (10303)</t>
  </si>
  <si>
    <t>6105.4.05.01.410.013 (10304)</t>
  </si>
  <si>
    <t>6105.4.05.01.410.014 (10453)</t>
  </si>
  <si>
    <t>6105.4.05.01.410.015 (10380)</t>
  </si>
  <si>
    <t>6105.4.05.01.410.019 (925)</t>
  </si>
  <si>
    <t>6105.4.05.01.410.028 (256)</t>
  </si>
  <si>
    <t>6105.4.05.01.410.045 (926)</t>
  </si>
  <si>
    <t>6105.4.05.01.410.995 (2460)</t>
  </si>
  <si>
    <t>6105.4.05.02.040.004 (2859)</t>
  </si>
  <si>
    <t>6105.4.05.02.040.005 (2860)</t>
  </si>
  <si>
    <t>6105.4.05.02.410.004 (10519)</t>
  </si>
  <si>
    <t>6105.4.05.02.410.005 (10452)</t>
  </si>
  <si>
    <t>6105.4.05.02.410.995 (2461)</t>
  </si>
  <si>
    <t>6105.4.05.03.040.022 (2862)</t>
  </si>
  <si>
    <t>6105.4.05.03.410.022 (853)</t>
  </si>
  <si>
    <t>6105.4.05.07.040.040 (2908)</t>
  </si>
  <si>
    <t>6105.4.05.07.410.040 (858)</t>
  </si>
  <si>
    <t>6105.4.05.08.040.006 (2842)</t>
  </si>
  <si>
    <t>6105.4.05.08.040.007 (2843)</t>
  </si>
  <si>
    <t>6105.4.05.08.040.008 (2844)</t>
  </si>
  <si>
    <t>6105.4.05.08.040.029 (2831)</t>
  </si>
  <si>
    <t>6105.4.05.08.410.006 (10244)</t>
  </si>
  <si>
    <t>6105.4.05.08.410.007 (10379)</t>
  </si>
  <si>
    <t>6105.4.05.08.410.008 (10302)</t>
  </si>
  <si>
    <t>6105.4.05.08.410.018 (900)</t>
  </si>
  <si>
    <t>6105.4.05.08.410.029 (257)</t>
  </si>
  <si>
    <t>6105.4.05.08.410.054 (2482)</t>
  </si>
  <si>
    <t>6105.4.05.99.410.001 (1828)</t>
  </si>
  <si>
    <t>6105.4.05.99.410.010 (1833)</t>
  </si>
  <si>
    <t>6105.4.05.99.410.020 (1827)</t>
  </si>
  <si>
    <t>6105.4.05.99.410.049 (1829)</t>
  </si>
  <si>
    <t>6105.4.06.01.410.001 (10461)</t>
  </si>
  <si>
    <t>6105.4.06.01.410.004 (10462)</t>
  </si>
  <si>
    <t>6105.4.06.01.410.005 (10128)</t>
  </si>
  <si>
    <t>6105.4.06.01.410.009 (10307)</t>
  </si>
  <si>
    <t>6105.4.06.01.410.010 (10385)</t>
  </si>
  <si>
    <t>6105.4.06.01.410.011 (10129)</t>
  </si>
  <si>
    <t>6105.4.06.01.410.012 (10308)</t>
  </si>
  <si>
    <t>6105.4.06.01.410.013 (849)</t>
  </si>
  <si>
    <t>6105.4.06.01.410.016 (848)</t>
  </si>
  <si>
    <t>6105.4.06.02.410.007 (10384)</t>
  </si>
  <si>
    <t>6105.4.06.02.410.017 (850)</t>
  </si>
  <si>
    <t>6105.4.06.02.410.018 (852)</t>
  </si>
  <si>
    <t>6105.4.06.02.410.032 (851)</t>
  </si>
  <si>
    <t>6105.4.06.02.410.037 (1783)</t>
  </si>
  <si>
    <t>6105.4.06.02.410.038 (2913)</t>
  </si>
  <si>
    <t>Composição Dividendos relativos a resultados acumulados</t>
  </si>
  <si>
    <t>Aumento de Capital Social</t>
  </si>
  <si>
    <t>excedente JSCP</t>
  </si>
  <si>
    <t>intermediários</t>
  </si>
  <si>
    <t>diferença 25% lucro liquido ajustado deduzido os dividendos intercalares de 4.282</t>
  </si>
  <si>
    <t xml:space="preserve">Taxa de </t>
  </si>
  <si>
    <t>Custo de</t>
  </si>
  <si>
    <t>Aquisição</t>
  </si>
  <si>
    <t>Acumulada</t>
  </si>
  <si>
    <t>Imobilizado em serviço</t>
  </si>
  <si>
    <t>Reservatórios, Barragens e Adutoras</t>
  </si>
  <si>
    <t xml:space="preserve">Veículos </t>
  </si>
  <si>
    <t xml:space="preserve">Móveis e Utensilios </t>
  </si>
  <si>
    <t xml:space="preserve">    Imobilizado em curso</t>
  </si>
  <si>
    <t>Administração:</t>
  </si>
  <si>
    <t>Total do imobilizado - Administração</t>
  </si>
  <si>
    <t>Total do Imobilizado</t>
  </si>
  <si>
    <t xml:space="preserve">check balanço </t>
  </si>
  <si>
    <t xml:space="preserve">9 a) Composição do imobilizado de acordo com as </t>
  </si>
  <si>
    <t>unidades de cadastro da portaria ANEEL nº. 367</t>
  </si>
  <si>
    <t>Deprec/Amortiz</t>
  </si>
  <si>
    <t>Ativo Imobilizado em Serviço</t>
  </si>
  <si>
    <t>9 b) - Movimentação do custo do ativo imo-</t>
  </si>
  <si>
    <t>bilizado em serviços e administração</t>
  </si>
  <si>
    <t>Móves e utensílios</t>
  </si>
  <si>
    <t>Sistema Transmissão e conexão</t>
  </si>
  <si>
    <t>(-) Provisão do Valor Recuperável dos Bens Indenizados - Antas I</t>
  </si>
  <si>
    <t xml:space="preserve">Adições </t>
  </si>
  <si>
    <t>Bens Indenizados - Antas I</t>
  </si>
  <si>
    <t xml:space="preserve">9 c) - Movimentação da depreciação </t>
  </si>
  <si>
    <t>acumulada</t>
  </si>
  <si>
    <t>Nota 10 - Intangível</t>
  </si>
  <si>
    <t xml:space="preserve"> Imobilizado em Serviço</t>
  </si>
  <si>
    <t xml:space="preserve"> Administração</t>
  </si>
  <si>
    <t>Total do Intangível</t>
  </si>
  <si>
    <t>10 a) Movimentação do Intangível</t>
  </si>
  <si>
    <t>Antas I</t>
  </si>
  <si>
    <t>(Redução) aumento nas compras de energia elétrica - BAESA</t>
  </si>
  <si>
    <t xml:space="preserve">  Dividendos adicionais (25%)</t>
  </si>
  <si>
    <t>Dividendos Adicionais</t>
  </si>
  <si>
    <t>Dividendos adicionais</t>
  </si>
  <si>
    <t>Saldo em 31 de dezembro de 2018 (reapresentado)</t>
  </si>
  <si>
    <t>dividendos adicionais 2018</t>
  </si>
  <si>
    <t>Balanços patrimoniais em 31 de dezembro de 2020 e  2019</t>
  </si>
  <si>
    <t>Exercícios findos em 31 de dezembro de 2020 e 2019</t>
  </si>
  <si>
    <t>31.12.2020</t>
  </si>
  <si>
    <t>31 de dezembro de 2020 e 2019</t>
  </si>
  <si>
    <t>Saldo em 31 de dezembro de 2020</t>
  </si>
  <si>
    <t>31 de dezembro de 2020</t>
  </si>
  <si>
    <t>Equivalência patrimonial 2020</t>
  </si>
  <si>
    <t>1101.1.02.01.001.009</t>
  </si>
  <si>
    <t>BANCO MERC. DO BRASIL</t>
  </si>
  <si>
    <t>1101.2.01.01.001.015</t>
  </si>
  <si>
    <t>BANCO BRADESCO - LETRA FINANCEIRA</t>
  </si>
  <si>
    <t>1101.2.01.01.001.016</t>
  </si>
  <si>
    <t>BANCO BRADESCO S/A C/C 81.192-0 CDB</t>
  </si>
  <si>
    <t>1101.2.01.01.001.017</t>
  </si>
  <si>
    <t>BANCO BRADESCO C/C 300207-1 CDB</t>
  </si>
  <si>
    <t>1102.9.01.01.001.011</t>
  </si>
  <si>
    <t>3RIOS FIBRAS E RESINAS LTDA</t>
  </si>
  <si>
    <t>1102.9.01.01.001.012</t>
  </si>
  <si>
    <t>CBL - LAMINACAO BRASILEIRA DE COBRE LTDA</t>
  </si>
  <si>
    <t>1102.9.01.01.001.013</t>
  </si>
  <si>
    <t>LORENZETTI SA INDUSTRIAS BRASILEIRAS ELETROMETALURGICAS</t>
  </si>
  <si>
    <t>1103.1.01.02.001.111</t>
  </si>
  <si>
    <t>EQUATORIAL ALAGOAS DISTRIBUIDORA DE ENERGIA S.A.</t>
  </si>
  <si>
    <t>1103.1.01.02.001.112</t>
  </si>
  <si>
    <t>EQUATORIAL PIAUI DISTRIBUIDORA DE ENERGIA S.A</t>
  </si>
  <si>
    <t>1103.1.01.02.001.113</t>
  </si>
  <si>
    <t>EDP - COMERCIALIZACAO E SERVICOS DE ENERGIA LTDA</t>
  </si>
  <si>
    <t>1103.1.01.02.001.114</t>
  </si>
  <si>
    <t>FC ONE ENERGIA LTDA</t>
  </si>
  <si>
    <t>1103.1.01.02.001.115</t>
  </si>
  <si>
    <t>ARGON COMERCIALIZADORA DE ENERGIA LTDA</t>
  </si>
  <si>
    <t>1103.1.01.02.001.116</t>
  </si>
  <si>
    <t>TEMPO ENERGIA S.A.</t>
  </si>
  <si>
    <t>1103.3.01.01.510.017</t>
  </si>
  <si>
    <t>1103.3.01.01.510.021</t>
  </si>
  <si>
    <t>1103.3.01.01.510.022</t>
  </si>
  <si>
    <t>DESTTRA COMERCIALIZADORA DE ENERGIA LTDA</t>
  </si>
  <si>
    <t>1103.3.01.01.510.023</t>
  </si>
  <si>
    <t>IBS COMERCIALIZADORA LTDA</t>
  </si>
  <si>
    <t>1103.3.01.01.510.024</t>
  </si>
  <si>
    <t>1103.3.01.01.510.027</t>
  </si>
  <si>
    <t>BAESA ENERGETICA BARRA GRANDE S/A</t>
  </si>
  <si>
    <t>1105.1.01.01.001.003</t>
  </si>
  <si>
    <t>SALDO NEGATIVO IRPJ 2019</t>
  </si>
  <si>
    <t>1105.1.01.01.001.004</t>
  </si>
  <si>
    <t>SALDO NEGATIVO IRPJ 2020</t>
  </si>
  <si>
    <t>1105.1.02.01.001.004</t>
  </si>
  <si>
    <t>SALDO NEGATIVO CSLL 2020</t>
  </si>
  <si>
    <t>PROVISÃO - IRRF APLICAÇÕES FINANCEIRAS</t>
  </si>
  <si>
    <t>1105.1.03.01.001.009</t>
  </si>
  <si>
    <t>IRRF APLICAÇÕES FINANCEIRAS - BANCO BRADESCO S/A</t>
  </si>
  <si>
    <t>1105.1.99.01.001.002</t>
  </si>
  <si>
    <t xml:space="preserve">SALÁRIO MATERNIDADE/PATERNIDADE A COMPENSAR NO IRPJ </t>
  </si>
  <si>
    <t>1105.1.99.01.002</t>
  </si>
  <si>
    <t>1105.1.99.01.002.001</t>
  </si>
  <si>
    <t>1112.2.01.01.001.005</t>
  </si>
  <si>
    <t>SEGURO GARANTIA - CONTRATOS DE COMPRA E VENDA DE ENERGIA</t>
  </si>
  <si>
    <t>1112.2.01.01.001.007</t>
  </si>
  <si>
    <t>SEGURO DE RESPONSABILIDADE CIVIL D&amp;O</t>
  </si>
  <si>
    <t>1119.1.99.01.005.009</t>
  </si>
  <si>
    <t>FÉRIAS DIRETORIA</t>
  </si>
  <si>
    <t>1119.1.99.01.005.011</t>
  </si>
  <si>
    <t>IRRF DIRETORIA</t>
  </si>
  <si>
    <t>1205.1.99.01.000.001</t>
  </si>
  <si>
    <t>INCENTIVOS FISCAIS - LEI ROUANET</t>
  </si>
  <si>
    <t>1215</t>
  </si>
  <si>
    <t>BENS E DIREITOS PARA USO FUTURO</t>
  </si>
  <si>
    <t>1215.1</t>
  </si>
  <si>
    <t>1215.1.01</t>
  </si>
  <si>
    <t>1215.1.01.01.004</t>
  </si>
  <si>
    <t>1215.1.01.01.004.001</t>
  </si>
  <si>
    <t>1220.1.02</t>
  </si>
  <si>
    <t>AVALIADAS AO VALOR JUSTO</t>
  </si>
  <si>
    <t>1220.1.02.01</t>
  </si>
  <si>
    <t>CUSTO DE AQUISIÇÃO</t>
  </si>
  <si>
    <t>1220.1.02.01.001</t>
  </si>
  <si>
    <t>1220.1.02.01.001.002</t>
  </si>
  <si>
    <t>EMPRESA DE TRANSMISSÃO ALTO URUGUAI</t>
  </si>
  <si>
    <t>1220.9.01.00.000.006</t>
  </si>
  <si>
    <t>AQUISIÇÃO AÇÕES COMPLEXO RIO DAS FLORES E BANDEIRANTE</t>
  </si>
  <si>
    <t>1232.1.03.08.007.002</t>
  </si>
  <si>
    <t>PLANTA SOLAR DME GD 5MW</t>
  </si>
  <si>
    <t>1232.4.02.04.001.006</t>
  </si>
  <si>
    <t>EQUIPAMENTOS - ILUMINAÇÃO PÚBLICA</t>
  </si>
  <si>
    <t>1233.1.01.03.003.002</t>
  </si>
  <si>
    <t>SOFTWARE - INVESTIMENTOS</t>
  </si>
  <si>
    <t>1233.1.02.03.003.002</t>
  </si>
  <si>
    <t>2101.3.03.01.000.004</t>
  </si>
  <si>
    <t>ATENTA SERVICOS TERCEIRIZADOS EIRELI</t>
  </si>
  <si>
    <t>2101.3.03.01.000.012</t>
  </si>
  <si>
    <t>BRUNA NOGUEIRA GONGORA</t>
  </si>
  <si>
    <t>2101.3.03.01.000.015</t>
  </si>
  <si>
    <t>BARBOSA E LOLI SOCIEDADE DE ADVOGADOS</t>
  </si>
  <si>
    <t>2101.3.03.01.000.017</t>
  </si>
  <si>
    <t>CONTACTE TELEATENDIMENTO EIRELI</t>
  </si>
  <si>
    <t>2101.3.03.01.000.018</t>
  </si>
  <si>
    <t>EVOLUE SERVIÇOS LTDA</t>
  </si>
  <si>
    <t>2101.3.03.01.000.020</t>
  </si>
  <si>
    <t>SERVICO SOCIAL DA INDUSTRIA, DEPARTAMENTO REGIONAL MG - SESI</t>
  </si>
  <si>
    <t>2101.3.03.01.000.021</t>
  </si>
  <si>
    <t>KPMG ASSESSORES LTDA</t>
  </si>
  <si>
    <t>2101.3.03.01.000.022</t>
  </si>
  <si>
    <t>PAULO EDUARDO DE ALMEIDA AUTO PECAS</t>
  </si>
  <si>
    <t>2101.3.03.01.000.023</t>
  </si>
  <si>
    <t>LKA BRINDES E SERVIÇOS LTDA</t>
  </si>
  <si>
    <t>2101.3.03.01.000.024</t>
  </si>
  <si>
    <t>VAPORTEC INSPEÇÃO E MANUTENÇÃO DE CALDEIRAS E EQUIP. LTDA</t>
  </si>
  <si>
    <t>2101.3.03.01.000.026</t>
  </si>
  <si>
    <t>TERESA CRISTINA CANDIDO OLIVEIRA COSTA E CIA LTDA</t>
  </si>
  <si>
    <t>2101.3.03.01.001.067</t>
  </si>
  <si>
    <t>BRASTRAFO DO BRASIL LTDA</t>
  </si>
  <si>
    <t>2101.3.03.01.001.072</t>
  </si>
  <si>
    <t>BATERIAS COBAP LTDA.</t>
  </si>
  <si>
    <t>CENTRO DE GESTÃO DE MEIOS DE PAGAMENTO LTDA</t>
  </si>
  <si>
    <t>2101.3.03.01.001.151</t>
  </si>
  <si>
    <t>D&amp;D MATERIAIS PARA CONSTRUÇÃO LTDA</t>
  </si>
  <si>
    <t>2101.3.03.01.001.185</t>
  </si>
  <si>
    <t>DEPOSITO DE MADEIRA VILA CRUZ LTDA.</t>
  </si>
  <si>
    <t>2101.3.03.01.001.198</t>
  </si>
  <si>
    <t>EMPRESA JORNALÍSTICA POÇOS DE CALDAS LTDA</t>
  </si>
  <si>
    <t>2101.3.03.01.001.247</t>
  </si>
  <si>
    <t>FLUID CONTROL AUTOMAÇÃO HIDRAULICA LTDA</t>
  </si>
  <si>
    <t>2101.3.03.01.001.271</t>
  </si>
  <si>
    <t>G. ANDRADE E CIA LTDA</t>
  </si>
  <si>
    <t>2101.3.03.01.001.340</t>
  </si>
  <si>
    <t>MARISE KATO DA SILVA</t>
  </si>
  <si>
    <t>2101.3.03.01.001.345</t>
  </si>
  <si>
    <t>INTERCLÍNICA RIBEIRO DO VALLE LTDA</t>
  </si>
  <si>
    <t>2101.3.03.01.001.414</t>
  </si>
  <si>
    <t>LIDER PRESTADORA DE SERVICOS LTDA</t>
  </si>
  <si>
    <t>2101.3.03.01.001.417</t>
  </si>
  <si>
    <t>ML ELETRICIDADE LTDA</t>
  </si>
  <si>
    <t>2101.3.03.01.001.429</t>
  </si>
  <si>
    <t>LABORATORIO MEDICO DRA. TANIA MARAN MAGALHAES S.S - LTDA</t>
  </si>
  <si>
    <t>2101.3.03.01.001.482</t>
  </si>
  <si>
    <t>LABORATORIO BIOANALISES P. DE CALDAS LTDA</t>
  </si>
  <si>
    <t>2101.3.03.01.001.645</t>
  </si>
  <si>
    <t>SECRETARIA DE ESTADO DE GOVERNO</t>
  </si>
  <si>
    <t>2101.3.03.01.001.676</t>
  </si>
  <si>
    <t>BERKLEY INTERNATIONAL DO BRASIL SEGUROS S.A.</t>
  </si>
  <si>
    <t>2101.3.03.01.001.704</t>
  </si>
  <si>
    <t>RIBERFUSO PARAFUSOS FERRAMENTAS E MAQUINAS COML LTDA.</t>
  </si>
  <si>
    <t>2101.3.03.01.001.714</t>
  </si>
  <si>
    <t xml:space="preserve">RTB ENERGIAS RENOVAVEIS EIRELI </t>
  </si>
  <si>
    <t>2101.3.03.01.001.717</t>
  </si>
  <si>
    <t>ABC PARAFUSOS E FERRAGENS - EIRELI</t>
  </si>
  <si>
    <t>2101.3.03.01.001.731</t>
  </si>
  <si>
    <t>SISTEMA INF. COM. IMPORT. E EXPORT. LTDA</t>
  </si>
  <si>
    <t>2101.3.03.01.001.743</t>
  </si>
  <si>
    <t>SOCIEDADE MINEIRA DE CULTURA</t>
  </si>
  <si>
    <t>2101.3.03.01.001.850</t>
  </si>
  <si>
    <t>VEROCHEQUE REFEIÇÕES LTDA</t>
  </si>
  <si>
    <t>2101.3.03.01.001.874</t>
  </si>
  <si>
    <t>PARADIGMA BUSINESS SOLUTIONS LTDA</t>
  </si>
  <si>
    <t>2101.3.03.01.001.985</t>
  </si>
  <si>
    <t>CREA - MG</t>
  </si>
  <si>
    <t>CÂMARA DE COMERCIALIZAÇÃO DE ENERGIA ELÉTRICA - CCEE</t>
  </si>
  <si>
    <t>2101.4.01.01.001.028</t>
  </si>
  <si>
    <t>2101.4.01.01.001.029</t>
  </si>
  <si>
    <t>RIO ALTO COMERCIALIZADORA DE ENERGIA LTDA</t>
  </si>
  <si>
    <t>2101.4.01.01.001.030</t>
  </si>
  <si>
    <t>MAXIMA ENERGIA COMERCIALIZADORA LTDA</t>
  </si>
  <si>
    <t>2101.4.01.01.001.031</t>
  </si>
  <si>
    <t>2103.1.01.01.001.007</t>
  </si>
  <si>
    <t>MENOR APRENDIZ</t>
  </si>
  <si>
    <t>2103.1.01.01.002</t>
  </si>
  <si>
    <t>2103.1.01.01.002.004</t>
  </si>
  <si>
    <t>2105.6.99.01.002.003</t>
  </si>
  <si>
    <t>CIDE</t>
  </si>
  <si>
    <t>2119.4.01.01.001.011</t>
  </si>
  <si>
    <t>ML ELETRICIDADE LTDA.</t>
  </si>
  <si>
    <t>2404.9.01.01.001.023</t>
  </si>
  <si>
    <t>RESERVA DE LUCRO DO EXERCICIO DE 2020</t>
  </si>
  <si>
    <t>2406.1.01.01.001.023</t>
  </si>
  <si>
    <t>LUCRO DO EXERCICIO DE 2019</t>
  </si>
  <si>
    <t>6101.5.01.03.001.006</t>
  </si>
  <si>
    <t>6105.1.02.10</t>
  </si>
  <si>
    <t>(-) CRÉDITOS DE TRIBUTOS RECUPERÁVEIS</t>
  </si>
  <si>
    <t>6105.1.02.10.110</t>
  </si>
  <si>
    <t>6105.1.02.10.110.200</t>
  </si>
  <si>
    <t>6105.1.02.10.120</t>
  </si>
  <si>
    <t>6105.1.02.10.120.200</t>
  </si>
  <si>
    <t>6105.1.02.10.130</t>
  </si>
  <si>
    <t>6105.1.02.10.130.200</t>
  </si>
  <si>
    <t>6105.1.07.01.110.003</t>
  </si>
  <si>
    <t>6105.1.07.01.110.014</t>
  </si>
  <si>
    <t>PRESERVAÇÃO AMBIENTAL - Lei 12.503/97</t>
  </si>
  <si>
    <t>6105.1.07.01.110.029</t>
  </si>
  <si>
    <t>MATERIAL DE SEGURANÇA</t>
  </si>
  <si>
    <t>6105.1.07.01.130.029</t>
  </si>
  <si>
    <t>6105.1.08.01.110.101</t>
  </si>
  <si>
    <t>6105.1.08.01.130.101</t>
  </si>
  <si>
    <t>6105.1.10.01.110</t>
  </si>
  <si>
    <t>6105.1.10.01.110.002</t>
  </si>
  <si>
    <t>6105.1.10.01.130</t>
  </si>
  <si>
    <t>6105.1.10.01.130.002</t>
  </si>
  <si>
    <t>6105.1.12.02</t>
  </si>
  <si>
    <t>PROVISÃO PARA LITÍGIOS TRABALHISTAS</t>
  </si>
  <si>
    <t>6105.1.12.02.120</t>
  </si>
  <si>
    <t>6105.1.12.02.120.020</t>
  </si>
  <si>
    <t>6105.1.17.10</t>
  </si>
  <si>
    <t>6105.1.17.10.110</t>
  </si>
  <si>
    <t>6105.1.17.10.110.200</t>
  </si>
  <si>
    <t>6105.1.17.10.120</t>
  </si>
  <si>
    <t>6105.1.17.10.120.200</t>
  </si>
  <si>
    <t>6105.1.17.10.130</t>
  </si>
  <si>
    <t>6105.1.17.10.130.200</t>
  </si>
  <si>
    <t>6105.1.19.99.120.032</t>
  </si>
  <si>
    <t>6105.1.19.99.130.017</t>
  </si>
  <si>
    <t>CREA</t>
  </si>
  <si>
    <t>6105.1.25.05</t>
  </si>
  <si>
    <t>PROGRAMA DE DEMISSÃO VOLUNTÁRIA - PDV</t>
  </si>
  <si>
    <t>6105.1.25.05.000.001</t>
  </si>
  <si>
    <t>RATEIO ADM CENTRAL  TRANSF. DA ADM - PROGRAM. PDV</t>
  </si>
  <si>
    <t>6105.1.32.03</t>
  </si>
  <si>
    <t>PROVISÃO PARA LITÍGIOS CÍVEIS</t>
  </si>
  <si>
    <t>6105.1.32.03.000.001</t>
  </si>
  <si>
    <t>6105.1.38</t>
  </si>
  <si>
    <t>TRANSFERÊNCIA DA ADMINISTRAÇÃO CENTRAL - AMORTIZAÇÃO</t>
  </si>
  <si>
    <t>6105.1.38.01</t>
  </si>
  <si>
    <t>6105.1.38.01.000.001</t>
  </si>
  <si>
    <t>6105.4.05.05</t>
  </si>
  <si>
    <t>6105.4.05.05.410</t>
  </si>
  <si>
    <t>6105.4.05.05.410.052</t>
  </si>
  <si>
    <t>PROGRAMA DE DEMISSÃO VOLUNTÁRIA PDV</t>
  </si>
  <si>
    <t>6105.4.07.01.040.034</t>
  </si>
  <si>
    <t>6105.4.07.01.410.013</t>
  </si>
  <si>
    <t>6105.4.07.01.410.014</t>
  </si>
  <si>
    <t>6105.4.08.01.410.004</t>
  </si>
  <si>
    <t>6105.4.08.01.410.113</t>
  </si>
  <si>
    <t>SERVIÇO DE SEGURANÇA E GUARDA DE PORTARIA</t>
  </si>
  <si>
    <t>6105.4.12.03</t>
  </si>
  <si>
    <t>6105.4.12.03.410</t>
  </si>
  <si>
    <t>SEDE - PROVISÃO PARA LITÍGIOS</t>
  </si>
  <si>
    <t>6105.4.12.03.410.002</t>
  </si>
  <si>
    <t>REVERSÃO - ESPÓLIO PEDRO AFONSO GUIMARÃES</t>
  </si>
  <si>
    <t>6105.4.15.01.410.075</t>
  </si>
  <si>
    <t>INVENTARIO DE ESTOQUE (SEDE) - SOBRAS</t>
  </si>
  <si>
    <t>6105.4.16.01.040</t>
  </si>
  <si>
    <t>6105.4.16.01.040.004</t>
  </si>
  <si>
    <t>6105.4.18</t>
  </si>
  <si>
    <t>6105.4.18.01</t>
  </si>
  <si>
    <t>6105.4.18.01.410.006</t>
  </si>
  <si>
    <t>AMORTIZAÇÃO - INTANGIVEL ETAU</t>
  </si>
  <si>
    <t>6105.4.19.99.040.010</t>
  </si>
  <si>
    <t>6105.4.32.01.000.003</t>
  </si>
  <si>
    <t>TRANFERÊNCIA PARA ATIVIDADES - PROVISÃO</t>
  </si>
  <si>
    <t>6105.4.38</t>
  </si>
  <si>
    <t>(-) TRANSFERÊNCIAS PARA ATIVIDADES - AMORTIZAÇÃO</t>
  </si>
  <si>
    <t>6105.4.38.01</t>
  </si>
  <si>
    <t>6105.4.38.01.000.001</t>
  </si>
  <si>
    <t>6105.5.01.01.510.056</t>
  </si>
  <si>
    <t>LIQUIDAÇÃO CCEE "OUTROS"</t>
  </si>
  <si>
    <t>6105.5.01.01.510.057</t>
  </si>
  <si>
    <t>(-) ALÍVIO FUTURO ESS</t>
  </si>
  <si>
    <t>6105.5.01.10</t>
  </si>
  <si>
    <t>6105.5.01.10.510.200</t>
  </si>
  <si>
    <t>6105.5.02.10</t>
  </si>
  <si>
    <t>6105.5.02.10.510.200</t>
  </si>
  <si>
    <t>6111.1.21.01.001.001</t>
  </si>
  <si>
    <t>ALUGUEL CASA RUA AMAZONAS 36</t>
  </si>
  <si>
    <t>6111.1.21.03</t>
  </si>
  <si>
    <t>GANHOS NA ALIENAÇÃO DE MATERIAIS</t>
  </si>
  <si>
    <t>6111.1.21.03.002</t>
  </si>
  <si>
    <t>6111.1.21.03.002.001</t>
  </si>
  <si>
    <t>GANHO NA ALIENAÇÃO DE BENS E DIREITOS - UHE SALTO PILÃO</t>
  </si>
  <si>
    <t>6111.1.21.99.002</t>
  </si>
  <si>
    <t>OUTRAS RECEITAS - UHE SALTO PILÃO</t>
  </si>
  <si>
    <t>6111.1.21.99.002.002</t>
  </si>
  <si>
    <t>VENDA DE CRÉDITO CARBONO</t>
  </si>
  <si>
    <t>6111.1.21.99.002.003</t>
  </si>
  <si>
    <t>OUTRAS</t>
  </si>
  <si>
    <t>6115.1.14</t>
  </si>
  <si>
    <t>PERDAS NA ALIENAÇÃO E DESATIVAÇÃO DE BENS E DIREITOS</t>
  </si>
  <si>
    <t>6115.1.14.01</t>
  </si>
  <si>
    <t>PERDAS NA ALIENAÇÃO E DESATIVAÇÃO</t>
  </si>
  <si>
    <t>6115.1.14.01.001</t>
  </si>
  <si>
    <t>6115.1.14.01.001.001</t>
  </si>
  <si>
    <t>PERDAS NA BAIXA DE ATIVO IMOBILIZADO</t>
  </si>
  <si>
    <t>6115.1.19.99.001.089</t>
  </si>
  <si>
    <t>DMED - COMPARTILHAMENTO DE INFRAESTRUTURA</t>
  </si>
  <si>
    <t>6115.4</t>
  </si>
  <si>
    <t>6115.4.11</t>
  </si>
  <si>
    <t>6115.4.11.01.001.001</t>
  </si>
  <si>
    <t>INCENTIVOS FISCAIS LEI ROUANET</t>
  </si>
  <si>
    <t>6201.5.02.01.001.003</t>
  </si>
  <si>
    <t>6301.1.99</t>
  </si>
  <si>
    <t>6301.1.99.01</t>
  </si>
  <si>
    <t>6301.1.99.01.003</t>
  </si>
  <si>
    <t>CONSÓRCIO EMPRESARIAL SALTO PILÃO</t>
  </si>
  <si>
    <t>6301.1.99.01.003.005</t>
  </si>
  <si>
    <t>CORREÇÃO PER DCOMP/SALDO NEGATIVO</t>
  </si>
  <si>
    <t>6305.1.21</t>
  </si>
  <si>
    <t>TRANSFERÊNCIA DA ADMINISTRAÇÃO CENTRAL - JUROS E VARIAÇÃO MO</t>
  </si>
  <si>
    <t>6305.1.21.03</t>
  </si>
  <si>
    <t>IOF, COMISSÕES E TAXAS</t>
  </si>
  <si>
    <t>6305.1.21.03.000.001</t>
  </si>
  <si>
    <t>6305.4.01</t>
  </si>
  <si>
    <t>JUROS E VARIAÇÃO MONETÁRIA - DÍVIDA MOEDA NACIONAL</t>
  </si>
  <si>
    <t>6305.4.01.03</t>
  </si>
  <si>
    <t>6305.4.01.03.001</t>
  </si>
  <si>
    <t>6305.4.01.03.001.001</t>
  </si>
  <si>
    <t>6305.4.21</t>
  </si>
  <si>
    <t>(-) TRANSFERÊNCIA PARA A ATIVIDADE - JUROS E VARIAÇÃO MONETÁ</t>
  </si>
  <si>
    <t>6305.4.21.01</t>
  </si>
  <si>
    <t>6305.4.21.01.000.001</t>
  </si>
  <si>
    <t>6305.4.99.09.001.014</t>
  </si>
  <si>
    <t>JUROS SOBRE CAUÇÃO</t>
  </si>
  <si>
    <t>Total do Passivo</t>
  </si>
  <si>
    <t>Serviços em Curso</t>
  </si>
  <si>
    <t>Tributos e Contribuições Sociais Compensáveis</t>
  </si>
  <si>
    <t>Despesas Pagas Antecipadamente</t>
  </si>
  <si>
    <t>(reapresentado)</t>
  </si>
  <si>
    <t xml:space="preserve">Fornecedores </t>
  </si>
  <si>
    <t>Encargos Setoriais</t>
  </si>
  <si>
    <t>Folha de Pagamento</t>
  </si>
  <si>
    <t>Obrigações Estimadas</t>
  </si>
  <si>
    <t>Outros Passivos Circulantes</t>
  </si>
  <si>
    <t>Total do patrimônio líquido e passivo</t>
  </si>
  <si>
    <t>Outras (despesas) receitas, líquidas</t>
  </si>
  <si>
    <t>Juros Sobre Capital Próprio Dividendos relativos a resultados acumulados</t>
  </si>
  <si>
    <t>dividendo minimo obrigatório</t>
  </si>
  <si>
    <t>intercalares pagos</t>
  </si>
  <si>
    <t>diferença 25% lucro liquido ajustado deduzido os dividendos intercalares de 3.622</t>
  </si>
  <si>
    <t>restituição de dividendos adicionais pago a maior pela DMEE</t>
  </si>
  <si>
    <t>6105.4.05.05.410.052 (2200)</t>
  </si>
  <si>
    <t>6105.4.06 (14100)</t>
  </si>
  <si>
    <t>Consórcio Empresarial Pai Querê - CEPAQ</t>
  </si>
  <si>
    <t>Câmara de Comercialização de Energia Elétrica</t>
  </si>
  <si>
    <t>FC One Energia Ltda</t>
  </si>
  <si>
    <t>Argon Comercializadora de Energia Ltda</t>
  </si>
  <si>
    <t>EDP - Comercialização e Serviços de Energia Ltda</t>
  </si>
  <si>
    <t>Desttra Comercializadora de Energia Ltda</t>
  </si>
  <si>
    <t>Equatorial Piaui Distribuidora de Energia S.A</t>
  </si>
  <si>
    <t>EDP Espírito Santo Distribuição Energia S.A</t>
  </si>
  <si>
    <t>EDP São Paulo Distribuição Energia S.A</t>
  </si>
  <si>
    <t>Tempo Energia S.A</t>
  </si>
  <si>
    <t>Metalsa Brasil Ind. e Com. De Auto Peças Ltda</t>
  </si>
  <si>
    <t>3Rios Fibras e Resinas Ltda</t>
  </si>
  <si>
    <t>Energisa Tocantins Distribuidora de Energia S.A</t>
  </si>
  <si>
    <t>Equatorial Alagoas Distribuidora de Energia S.A</t>
  </si>
  <si>
    <t>Empregados</t>
  </si>
  <si>
    <t>Fornecedores</t>
  </si>
  <si>
    <t>Alienação de Bens e Direitos</t>
  </si>
  <si>
    <t xml:space="preserve">Outros </t>
  </si>
  <si>
    <t>Investimentos Temporários - CESAP</t>
  </si>
  <si>
    <t>quantidade de ações conferir com as DF´s</t>
  </si>
  <si>
    <t>ETAU - ativo intangivel</t>
  </si>
  <si>
    <t>amortização intangivel ETAU</t>
  </si>
  <si>
    <t>Saldo 2020</t>
  </si>
  <si>
    <t>Arrendamentos e Alugueis</t>
  </si>
  <si>
    <t>Seguros</t>
  </si>
  <si>
    <t>Recuperação de Despesas</t>
  </si>
  <si>
    <t>14. Custos e Despesas operacionais</t>
  </si>
  <si>
    <t>Tributos</t>
  </si>
  <si>
    <t>Doações, Contribuições e Subvenções - CESAP</t>
  </si>
  <si>
    <t>Provisão para Litigios Trabalhistas - CESAP</t>
  </si>
  <si>
    <t>Amortização - UBP</t>
  </si>
  <si>
    <t>Encargos de Transmissão, Conexão e Distribuição</t>
  </si>
  <si>
    <t>Energia Elétrica Comprada para Revenda:</t>
  </si>
  <si>
    <t>De 01/01/2020 até 31/12/2020</t>
  </si>
  <si>
    <t>NE5395</t>
  </si>
  <si>
    <t>Provisionamento ref. NF 63168  COMERC COMERCIALIZADORA DE ENERGIA ELÉTRICA LTDA.</t>
  </si>
  <si>
    <t>NE5396</t>
  </si>
  <si>
    <t>Provisionamento ref. NF 20443  SAFIRA ADMINISTRACAO E COMERCIALIZACAO DE ENERGIA S.A.</t>
  </si>
  <si>
    <t>NE5397</t>
  </si>
  <si>
    <t>Provisionamento ref. NF 4537  TRINITY COMERCIALIZADORA DE ENERGIA ELETRICA LTDA</t>
  </si>
  <si>
    <t>NE5402</t>
  </si>
  <si>
    <t>Provisionamento ref. NF 624  DESTTRA COMERCIALIZADORA DE ENERGIA LTDA</t>
  </si>
  <si>
    <t>2101.3.03.01.001.820</t>
  </si>
  <si>
    <t>NE5450</t>
  </si>
  <si>
    <t>Provisionamento ref. NF 28258  BOVEN COMERCIALIZADORA DE ENERGIA LTDA</t>
  </si>
  <si>
    <t>NE5451</t>
  </si>
  <si>
    <t>Provisionamento ref. NF 4866  MAXIMA ENERGIA COMERCIALIZADORA LTDA</t>
  </si>
  <si>
    <t>2101.3.03.01.001.305</t>
  </si>
  <si>
    <t>NE5453</t>
  </si>
  <si>
    <t>Provisionamento ref. NF 63976  COMERC COMERCIALIZADORA DE ENERGIA ELÉTRICA LTDA.</t>
  </si>
  <si>
    <t>NE5454</t>
  </si>
  <si>
    <t>Provisionamento ref. NF 63978  COMERC COMERCIALIZADORA DE ENERGIA ELÉTRICA LTDA.</t>
  </si>
  <si>
    <t>NE5455</t>
  </si>
  <si>
    <t>Provisionamento ref. NF 10440  PRIME ENERGY COMERCIALIZADORA DE ENERGIA LTDA</t>
  </si>
  <si>
    <t>2101.3.03.01.001.334</t>
  </si>
  <si>
    <t>NE5459</t>
  </si>
  <si>
    <t>Provisionamento ref. NF 1312  ARGON COMERCIALIZADORA DE ENERGIA LTDA</t>
  </si>
  <si>
    <t>2101.3.03.01.001.335</t>
  </si>
  <si>
    <t>NE5462</t>
  </si>
  <si>
    <t>Provisionamento ref. NF 1583  RIO ALTO COMERCIALIZADORA DE ENERGIA LTDA</t>
  </si>
  <si>
    <t>2101.3.03.01.001.337</t>
  </si>
  <si>
    <t>NE5465</t>
  </si>
  <si>
    <t>Provisionamento ref. NF 26226  CAPITALE ENERGIA COMERCIALIZADORA LTDA.</t>
  </si>
  <si>
    <t>2101.3.03.01.001.338</t>
  </si>
  <si>
    <t>NE5518</t>
  </si>
  <si>
    <t>Provisionamento ref. NF 10652  PRIME ENERGY COMERCIALIZADORA DE ENERGIA LTDA</t>
  </si>
  <si>
    <t>NE5519</t>
  </si>
  <si>
    <t>Provisionamento ref. NF 1406  ARGON COMERCIALIZADORA DE ENERGIA LTDA</t>
  </si>
  <si>
    <t>NE5520</t>
  </si>
  <si>
    <t>Provisionamento ref. NF 29103  BOVEN COMERCIALIZADORA DE ENERGIA LTDA</t>
  </si>
  <si>
    <t>NE5521</t>
  </si>
  <si>
    <t>Provisionamento ref. NF 64795  COMERC COMERCIALIZADORA DE ENERGIA ELÉTRICA LTDA.</t>
  </si>
  <si>
    <t>NE5522</t>
  </si>
  <si>
    <t>Provisionamento ref. NF 65040  COMERC COMERCIALIZADORA DE ENERGIA ELÉTRICA LTDA.</t>
  </si>
  <si>
    <t>NE5523</t>
  </si>
  <si>
    <t>Provisionamento ref. NF 1592  RIO ALTO COMERCIALIZADORA DE ENERGIA LTDA</t>
  </si>
  <si>
    <t>NE5528</t>
  </si>
  <si>
    <t>Provisionamento ref. NF 5017  MAXIMA ENERGIA COMERCIALIZADORA LTDA</t>
  </si>
  <si>
    <t>NE5577</t>
  </si>
  <si>
    <t>Provisionamento ref. NF 5137  MAXIMA ENERGIA COMERCIALIZADORA LTDA</t>
  </si>
  <si>
    <t>NE5578</t>
  </si>
  <si>
    <t>Provisionamento ref. NF 29530  BOVEN COMERCIALIZADORA DE ENERGIA LTDA</t>
  </si>
  <si>
    <t>NE5579</t>
  </si>
  <si>
    <t>Provisionamento ref. NF 1504  ARGON COMERCIALIZADORA DE ENERGIA LTDA</t>
  </si>
  <si>
    <t>NE5580</t>
  </si>
  <si>
    <t>Provisionamento ref. NF 11070  PRIME ENERGY COMERCIALIZADORA DE ENERGIA LTDA</t>
  </si>
  <si>
    <t>NE5581</t>
  </si>
  <si>
    <t>Provisionamento ref. NF 1594  RIO ALTO COMERCIALIZADORA DE ENERGIA LTDA</t>
  </si>
  <si>
    <t>NE5582</t>
  </si>
  <si>
    <t>Provisionamento ref. NF 65759  COMERC COMERCIALIZADORA DE ENERGIA ELÉTRICA LTDA.</t>
  </si>
  <si>
    <t>NE5583</t>
  </si>
  <si>
    <t>Provisionamento ref. NF 65845  COMERC COMERCIALIZADORA DE ENERGIA ELÉTRICA LTDA.</t>
  </si>
  <si>
    <t>NE5584</t>
  </si>
  <si>
    <t>Provisionamento ref. NF 65847  COMERC COMERCIALIZADORA DE ENERGIA ELÉTRICA LTDA.</t>
  </si>
  <si>
    <t>NE5654</t>
  </si>
  <si>
    <t>Provisionamento ref. NF 66690  COMERC COMERCIALIZADORA DE ENERGIA ELÉTRICA LTDA.</t>
  </si>
  <si>
    <t>NE5655</t>
  </si>
  <si>
    <t>Provisionamento ref. NF 66691  COMERC COMERCIALIZADORA DE ENERGIA ELÉTRICA LTDA.</t>
  </si>
  <si>
    <t>NE5656</t>
  </si>
  <si>
    <t>Provisionamento ref. NF 66692  COMERC COMERCIALIZADORA DE ENERGIA ELÉTRICA LTDA.</t>
  </si>
  <si>
    <t>NE5657</t>
  </si>
  <si>
    <t>Provisionamento ref. NF 29970  BOVEN COMERCIALIZADORA DE ENERGIA LTDA</t>
  </si>
  <si>
    <t>NE5658</t>
  </si>
  <si>
    <t>Provisionamento ref. NF 11416  PRIME ENERGY COMERCIALIZADORA DE ENERGIA LTDA</t>
  </si>
  <si>
    <t>NE5659</t>
  </si>
  <si>
    <t>Provisionamento ref. NF 5194  MAXIMA ENERGIA COMERCIALIZADORA LTDA</t>
  </si>
  <si>
    <t>NE5660</t>
  </si>
  <si>
    <t>Provisionamento ref. NF 1572  ARGON COMERCIALIZADORA DE ENERGIA LTDA</t>
  </si>
  <si>
    <t>Contabilidade</t>
  </si>
  <si>
    <t>NE5661</t>
  </si>
  <si>
    <t>Provisionamento ref. NF 1596  RIO ALTO COMERCIALIZADORA DE ENERGIA LTDA</t>
  </si>
  <si>
    <t>NE5746</t>
  </si>
  <si>
    <t>Provisionamento ref. NF 1598  RIO ALTO COMERCIALIZADORA DE ENERGIA LTDA</t>
  </si>
  <si>
    <t>NE5747</t>
  </si>
  <si>
    <t>Provisionamento ref. NF 67259  COMERC COMERCIALIZADORA DE ENERGIA ELÉTRICA LTDA.</t>
  </si>
  <si>
    <t>NE5751</t>
  </si>
  <si>
    <t>Provisionamento ref. NF 1648  ARGON COMERCIALIZADORA DE ENERGIA LTDA</t>
  </si>
  <si>
    <t>NE5752</t>
  </si>
  <si>
    <t>Provisionamento ref. NF 11695  PRIME ENERGY COMERCIALIZADORA DE ENERGIA LTDA</t>
  </si>
  <si>
    <t>NE5748</t>
  </si>
  <si>
    <t>Provisionamento ref. NF 67357  COMERC COMERCIALIZADORA DE ENERGIA ELÉTRICA LTDA.</t>
  </si>
  <si>
    <t>NE5750</t>
  </si>
  <si>
    <t>Provisionamento ref. NF 30913  BOVEN COMERCIALIZADORA DE ENERGIA LTDA</t>
  </si>
  <si>
    <t>NE5749</t>
  </si>
  <si>
    <t>Provisionamento ref. NF 67459  COMERC COMERCIALIZADORA DE ENERGIA ELÉTRICA LTDA.</t>
  </si>
  <si>
    <t>NE5753</t>
  </si>
  <si>
    <t>Provisionamento ref. NF 5534  MAXIMA ENERGIA COMERCIALIZADORA LTDA</t>
  </si>
  <si>
    <t>NE5805</t>
  </si>
  <si>
    <t>Provisionamento ref. NF 12053  PRIME ENERGY COMERCIALIZADORA DE ENERGIA LTDA</t>
  </si>
  <si>
    <t>NE5806</t>
  </si>
  <si>
    <t>Provisionamento ref. NF 31188  BOVEN COMERCIALIZADORA DE ENERGIA LTDA</t>
  </si>
  <si>
    <t>NE5807</t>
  </si>
  <si>
    <t>Provisionamento ref. NF 67934  COMERC COMERCIALIZADORA DE ENERGIA ELÉTRICA LTDA.</t>
  </si>
  <si>
    <t>NE5808</t>
  </si>
  <si>
    <t>Provisionamento ref. NF 67962  COMERC COMERCIALIZADORA DE ENERGIA ELÉTRICA LTDA.</t>
  </si>
  <si>
    <t>NE5809</t>
  </si>
  <si>
    <t>Provisionamento ref. NF 68004  COMERC COMERCIALIZADORA DE ENERGIA ELÉTRICA LTDA.</t>
  </si>
  <si>
    <t>NE5810</t>
  </si>
  <si>
    <t>Provisionamento ref. NF 1600  RIO ALTO COMERCIALIZADORA DE ENERGIA LTDA</t>
  </si>
  <si>
    <t>NE5804</t>
  </si>
  <si>
    <t>Provisionamento ref. NF 1731  ARGON COMERCIALIZADORA DE ENERGIA LTDA</t>
  </si>
  <si>
    <t>NE5818</t>
  </si>
  <si>
    <t>Provisionamento ref. NF 5915  MAXIMA ENERGIA COMERCIALIZADORA LTDA</t>
  </si>
  <si>
    <t>NE5868</t>
  </si>
  <si>
    <t>Provisionamento ref. NF 1814  ARGON COMERCIALIZADORA DE ENERGIA LTDA</t>
  </si>
  <si>
    <t>NE5869</t>
  </si>
  <si>
    <t>Provisionamento ref. NF 12468  PRIME ENERGY COMERCIALIZADORA DE ENERGIA LTDA</t>
  </si>
  <si>
    <t>NE5871</t>
  </si>
  <si>
    <t>Provisionamento ref. NF 68855  COMERC COMERCIALIZADORA DE ENERGIA ELÉTRICA LTDA.</t>
  </si>
  <si>
    <t>NE5872</t>
  </si>
  <si>
    <t>Provisionamento ref. NF 68856  COMERC COMERCIALIZADORA DE ENERGIA ELÉTRICA LTDA.</t>
  </si>
  <si>
    <t>NE5873</t>
  </si>
  <si>
    <t>Provisionamento ref. NF 68966  COMERC COMERCIALIZADORA DE ENERGIA ELÉTRICA LTDA.</t>
  </si>
  <si>
    <t>NE5874</t>
  </si>
  <si>
    <t>Provisionamento ref. NF 1603  RIO ALTO COMERCIALIZADORA DE ENERGIA LTDA</t>
  </si>
  <si>
    <t>NE5879</t>
  </si>
  <si>
    <t>Provisionamento ref. NF 32548  BOVEN COMERCIALIZADORA DE ENERGIA LTDA</t>
  </si>
  <si>
    <t>NE5880</t>
  </si>
  <si>
    <t>Provisionamento ref. NF 6100  MAXIMA ENERGIA COMERCIALIZADORA LTDA</t>
  </si>
  <si>
    <t>NE5943</t>
  </si>
  <si>
    <t>Provisionamento ref. NF 32910  BOVEN COMERCIALIZADORA DE ENERGIA LTDA</t>
  </si>
  <si>
    <t>NE5944</t>
  </si>
  <si>
    <t>Provisionamento ref. NF 69716  COMERC COMERCIALIZADORA DE ENERGIA ELÉTRICA LTDA.</t>
  </si>
  <si>
    <t>NE5945</t>
  </si>
  <si>
    <t>Provisionamento ref. NF 69676  COMERC COMERCIALIZADORA DE ENERGIA ELÉTRICA LTDA.</t>
  </si>
  <si>
    <t>NE5946</t>
  </si>
  <si>
    <t>Provisionamento ref. NF 69677  COMERC COMERCIALIZADORA DE ENERGIA ELÉTRICA LTDA.</t>
  </si>
  <si>
    <t>NE5947</t>
  </si>
  <si>
    <t>Provisionamento ref. NF 12864  PRIME ENERGY COMERCIALIZADORA DE ENERGIA LTDA</t>
  </si>
  <si>
    <t>NE5948</t>
  </si>
  <si>
    <t>Provisionamento ref. NF 1605  RIO ALTO COMERCIALIZADORA DE ENERGIA LTDA</t>
  </si>
  <si>
    <t>NE5949</t>
  </si>
  <si>
    <t>Provisionamento ref. NF 1899  ARGON COMERCIALIZADORA DE ENERGIA LTDA</t>
  </si>
  <si>
    <t>NE5950</t>
  </si>
  <si>
    <t>Provisionamento ref. NF 6245  MAXIMA ENERGIA COMERCIALIZADORA LTDA</t>
  </si>
  <si>
    <t>NE6030</t>
  </si>
  <si>
    <t>Provisionamento ref. NF 13293  PRIME ENERGY COMERCIALIZADORA DE ENERGIA LTDA</t>
  </si>
  <si>
    <t>NE6034</t>
  </si>
  <si>
    <t>Provisionamento ref. NF 70708  COMERC COMERCIALIZADORA DE ENERGIA ELÉTRICA LTDA.</t>
  </si>
  <si>
    <t>NE6035</t>
  </si>
  <si>
    <t>Provisionamento ref. NF 70709  COMERC COMERCIALIZADORA DE ENERGIA ELÉTRICA LTDA.</t>
  </si>
  <si>
    <t>NE6036</t>
  </si>
  <si>
    <t>Provisionamento ref. NF 70710  COMERC COMERCIALIZADORA DE ENERGIA ELÉTRICA LTDA.</t>
  </si>
  <si>
    <t>NE6037</t>
  </si>
  <si>
    <t>Provisionamento ref. NF 33667  BOVEN COMERCIALIZADORA DE ENERGIA LTDA</t>
  </si>
  <si>
    <t>NE6032</t>
  </si>
  <si>
    <t>Provisionamento ref. NF 6455  MAXIMA ENERGIA COMERCIALIZADORA LTDA</t>
  </si>
  <si>
    <t>NE6033</t>
  </si>
  <si>
    <t>Provisionamento ref. NF 1982  ARGON COMERCIALIZADORA DE ENERGIA LTDA</t>
  </si>
  <si>
    <t>NE6056</t>
  </si>
  <si>
    <t>Provisionamento ref. NF 1610  RIO ALTO COMERCIALIZADORA DE ENERGIA LTDA</t>
  </si>
  <si>
    <t>NE6096</t>
  </si>
  <si>
    <t>Provisionamento ref. NF 13839  PRIME ENERGY COMERCIALIZADORA DE ENERGIA LTDA</t>
  </si>
  <si>
    <t>NE6097</t>
  </si>
  <si>
    <t>Provisionamento ref. NF 6881  MAXIMA ENERGIA COMERCIALIZADORA LTDA</t>
  </si>
  <si>
    <t>NE6098</t>
  </si>
  <si>
    <t>Provisionamento ref. NF 34396  BOVEN COMERCIALIZADORA DE ENERGIA LTDA</t>
  </si>
  <si>
    <t>NE6099</t>
  </si>
  <si>
    <t>Provisionamento ref. NF 2060  ARGON COMERCIALIZADORA DE ENERGIA LTDA</t>
  </si>
  <si>
    <t>NE6100</t>
  </si>
  <si>
    <t>Provisionamento ref. NF 71690  COMERC COMERCIALIZADORA DE ENERGIA ELÉTRICA LTDA.</t>
  </si>
  <si>
    <t>NE6101</t>
  </si>
  <si>
    <t>Provisionamento ref. NF 71691  COMERC COMERCIALIZADORA DE ENERGIA ELÉTRICA LTDA.</t>
  </si>
  <si>
    <t>NE6102</t>
  </si>
  <si>
    <t>Provisionamento ref. NF 71917  COMERC COMERCIALIZADORA DE ENERGIA ELÉTRICA LTDA.</t>
  </si>
  <si>
    <t>NE6103</t>
  </si>
  <si>
    <t>Provisionamento ref. NF 1614  RIO ALTO COMERCIALIZADORA DE ENERGIA LTDA</t>
  </si>
  <si>
    <t>NE6155</t>
  </si>
  <si>
    <t>Provisionamento ref. NF 35418  BOVEN COMERCIALIZADORA DE ENERGIA LTDA</t>
  </si>
  <si>
    <t>NE6156</t>
  </si>
  <si>
    <t>Provisionamento ref. NF 7301  MAXIMA ENERGIA COMERCIALIZADORA LTDA</t>
  </si>
  <si>
    <t>NE6158</t>
  </si>
  <si>
    <t>Provisionamento ref. NF 72622  COMERC COMERCIALIZADORA DE ENERGIA ELÉTRICA LTDA.</t>
  </si>
  <si>
    <t>NE6159</t>
  </si>
  <si>
    <t>Provisionamento ref. NF 72721  COMERC COMERCIALIZADORA DE ENERGIA ELÉTRICA LTDA.</t>
  </si>
  <si>
    <t>NE6160</t>
  </si>
  <si>
    <t>Provisionamento ref. NF 72722  COMERC COMERCIALIZADORA DE ENERGIA ELÉTRICA LTDA.</t>
  </si>
  <si>
    <t>NE6161</t>
  </si>
  <si>
    <t>Provisionamento ref. NF 1621  RIO ALTO COMERCIALIZADORA DE ENERGIA LTDA</t>
  </si>
  <si>
    <t>NE6162</t>
  </si>
  <si>
    <t>Provisionamento ref. NF 2142  ARGON COMERCIALIZADORA DE ENERGIA LTDA</t>
  </si>
  <si>
    <t>NE6163</t>
  </si>
  <si>
    <t>Provisionamento ref. NF 14374  PRIME ENERGY COMERCIALIZADORA DE ENERGIA LTDA</t>
  </si>
  <si>
    <t>15. Energia elétrica comprada e Encargos</t>
  </si>
  <si>
    <t>Energia elétrica comprada e Encargos</t>
  </si>
  <si>
    <t>Encargos:</t>
  </si>
  <si>
    <t>Maxima Comercializadora de Energia Ltda</t>
  </si>
  <si>
    <t>Prime Energy Comercializadora de Energia Ltda</t>
  </si>
  <si>
    <t>Rio Alto Comercializadora de Energia Ltda</t>
  </si>
  <si>
    <t>Capital Energia Comercializadora Ltda</t>
  </si>
  <si>
    <t>Safra Adminsitração e Comercialização de Energia S.A</t>
  </si>
  <si>
    <t xml:space="preserve">Bio Energia Comércio de Energia </t>
  </si>
  <si>
    <t>Amortização - Intangivel ETAU</t>
  </si>
  <si>
    <t>Reversão da Provisão</t>
  </si>
  <si>
    <t>17. Outras Despesas e Receitas Operacionais Liquidas</t>
  </si>
  <si>
    <t>Outras Despesas Operacionais:</t>
  </si>
  <si>
    <t>Compartilhamento de Infraestrutura</t>
  </si>
  <si>
    <t>Perdas na alienação e desativação de bens e direitos</t>
  </si>
  <si>
    <t>Doações - Incentivos Fiscais Lei Rouanet</t>
  </si>
  <si>
    <t>Outras Receitas Operacionais:</t>
  </si>
  <si>
    <t>Receita de Prestação de Serviços - Comercialização</t>
  </si>
  <si>
    <t xml:space="preserve">(-) Tributos Sobre a Receita </t>
  </si>
  <si>
    <t>Outras Receitas Operacionais</t>
  </si>
  <si>
    <t>Receita com Venda de Crédito de Carbono - CESAP</t>
  </si>
  <si>
    <t>Outras Despesas e Receitas Operacionais Liquidas</t>
  </si>
  <si>
    <t>a) Reconciliação dos montantes de contribuição social e imposto de renda registrados nos resultados dos exercícios de 2020 e 2019:</t>
  </si>
  <si>
    <t>Dividendos 2020</t>
  </si>
  <si>
    <t xml:space="preserve">DME Energetica S.A. - DMEE                                                                          </t>
  </si>
  <si>
    <t xml:space="preserve">Período: </t>
  </si>
  <si>
    <t xml:space="preserve"> - </t>
  </si>
  <si>
    <t>1000 (10714)</t>
  </si>
  <si>
    <t>1100 (10715)</t>
  </si>
  <si>
    <t>1101 (10716)</t>
  </si>
  <si>
    <t>1101.1 (10717)</t>
  </si>
  <si>
    <t>1101.1.01 (10718)</t>
  </si>
  <si>
    <t>1101.1.01.01 (15426)</t>
  </si>
  <si>
    <t>1101.1.01.01.001 (15211)</t>
  </si>
  <si>
    <t>1101.1.01.01.001.001 (1008)</t>
  </si>
  <si>
    <t>1101.1.02 (10719)</t>
  </si>
  <si>
    <t>1101.1.02.01 (15276)</t>
  </si>
  <si>
    <t>1101.1.02.01.001 (15381)</t>
  </si>
  <si>
    <t>1101.1.02.01.001.001 (1013)</t>
  </si>
  <si>
    <t>1101.1.02.01.001.002 (1014)</t>
  </si>
  <si>
    <t>1101.1.02.01.001.003 (1015)</t>
  </si>
  <si>
    <t>1101.1.02.01.001.005 (1017)</t>
  </si>
  <si>
    <t>1101.1.02.01.001.007 (447)</t>
  </si>
  <si>
    <t>1101.1.02.01.001.009 (844)</t>
  </si>
  <si>
    <t>1101.1.02.01.001.013 (2472)</t>
  </si>
  <si>
    <t>1101.1.02.01.001.014 (2978)</t>
  </si>
  <si>
    <t>1101.1.02.01.002 (15314)</t>
  </si>
  <si>
    <t>1101.1.02.01.002.001 (10570)</t>
  </si>
  <si>
    <t>1101.1.04 (10721)</t>
  </si>
  <si>
    <t>1101.1.04.01.002 (1799)</t>
  </si>
  <si>
    <t>1101.1.04.01.002.001 (1803)</t>
  </si>
  <si>
    <t>1101.2 (10724)</t>
  </si>
  <si>
    <t>1101.2.01 (15348)</t>
  </si>
  <si>
    <t>1101.2.01.01 (15255)</t>
  </si>
  <si>
    <t>1101.2.01.01.001 (15303)</t>
  </si>
  <si>
    <t>1101.2.01.01.001.001 (1026)</t>
  </si>
  <si>
    <t>1101.2.01.01.001.002 (1028)</t>
  </si>
  <si>
    <t>1101.2.01.01.001.008 (843)</t>
  </si>
  <si>
    <t>1101.2.01.01.001.009 (1170)</t>
  </si>
  <si>
    <t>1101.2.01.01.001.013 (2196)</t>
  </si>
  <si>
    <t>1101.2.01.01.001.014 (2979)</t>
  </si>
  <si>
    <t>1101.2.01.01.001.015 (3015)</t>
  </si>
  <si>
    <t>1101.2.01.01.001.016 (3103)</t>
  </si>
  <si>
    <t>1101.2.01.01.001.017 (3104)</t>
  </si>
  <si>
    <t>1101.2.01.01.002 (15473)</t>
  </si>
  <si>
    <t>1101.2.01.01.002.001 (10571)</t>
  </si>
  <si>
    <t>1102 (10725)</t>
  </si>
  <si>
    <t>1102.9 (10773)</t>
  </si>
  <si>
    <t>1102.9.01 (2067)</t>
  </si>
  <si>
    <t>1102.9.01.01 (2051)</t>
  </si>
  <si>
    <t>1102.9.01.01.001 (2052)</t>
  </si>
  <si>
    <t>1102.9.01.01.001.009 (2839)</t>
  </si>
  <si>
    <t>1102.9.01.01.001.010 (2938)</t>
  </si>
  <si>
    <t>1102.9.01.01.001.011 (3010)</t>
  </si>
  <si>
    <t>1102.9.01.01.001.012 (3053)</t>
  </si>
  <si>
    <t>1102.9.01.01.001.013 (3058)</t>
  </si>
  <si>
    <t>1103 (10774)</t>
  </si>
  <si>
    <t>1103.1 (10775)</t>
  </si>
  <si>
    <t>1103.1.01 (10776)</t>
  </si>
  <si>
    <t>1103.1.01.02 (539)</t>
  </si>
  <si>
    <t>1103.1.01.02.001 (540)</t>
  </si>
  <si>
    <t>1103.1.01.02.001.001 (1046)</t>
  </si>
  <si>
    <t>1103.1.01.02.001.007 (1070)</t>
  </si>
  <si>
    <t>1103.1.01.02.001.008 (1071)</t>
  </si>
  <si>
    <t>1103.1.01.02.001.011 (1074)</t>
  </si>
  <si>
    <t>1103.1.01.02.001.014 (1077)</t>
  </si>
  <si>
    <t>1103.1.01.02.001.015 (1078)</t>
  </si>
  <si>
    <t>1103.1.01.02.001.016 (1079)</t>
  </si>
  <si>
    <t>1103.1.01.02.001.018 (1081)</t>
  </si>
  <si>
    <t>1103.1.01.02.001.019 (1082)</t>
  </si>
  <si>
    <t>1103.1.01.02.001.020 (1083)</t>
  </si>
  <si>
    <t>1103.1.01.02.001.021 (1084)</t>
  </si>
  <si>
    <t>1103.1.01.02.001.024 (1086)</t>
  </si>
  <si>
    <t>1103.1.01.02.001.026 (1088)</t>
  </si>
  <si>
    <t>1103.1.01.02.001.027 (1089)</t>
  </si>
  <si>
    <t>1103.1.01.02.001.028 (1090)</t>
  </si>
  <si>
    <t>1103.1.01.02.001.032 (1113)</t>
  </si>
  <si>
    <t>1103.1.01.02.001.046 (1069)</t>
  </si>
  <si>
    <t>1103.1.01.02.001.052 (1727)</t>
  </si>
  <si>
    <t>1103.1.01.02.001.056 (1777)</t>
  </si>
  <si>
    <t>1103.1.01.02.001.058 (1826)</t>
  </si>
  <si>
    <t>1103.1.01.02.001.060 (1891)</t>
  </si>
  <si>
    <t>1103.1.01.02.001.078 (2365)</t>
  </si>
  <si>
    <t>1103.1.01.02.001.080 (2408)</t>
  </si>
  <si>
    <t>1103.1.01.02.001.081 (2409)</t>
  </si>
  <si>
    <t>1103.1.01.02.001.083 (2421)</t>
  </si>
  <si>
    <t>1103.1.01.02.001.093 (2518)</t>
  </si>
  <si>
    <t>1103.1.01.02.001.104 (2828)</t>
  </si>
  <si>
    <t>1103.1.01.02.001.111 (2986)</t>
  </si>
  <si>
    <t>1103.1.01.02.001.112 (2987)</t>
  </si>
  <si>
    <t>1103.1.01.02.001.113 (2990)</t>
  </si>
  <si>
    <t>1103.1.01.02.001.114 (2991)</t>
  </si>
  <si>
    <t>1103.1.01.02.001.115 (2997)</t>
  </si>
  <si>
    <t>1103.1.01.02.001.116 (3003)</t>
  </si>
  <si>
    <t>1103.1.01.03 (542)</t>
  </si>
  <si>
    <t>1103.1.01.03.001 (541)</t>
  </si>
  <si>
    <t>1103.1.01.03.001.001 (434)</t>
  </si>
  <si>
    <t>1103.3 (10781)</t>
  </si>
  <si>
    <t>1103.3.01 (10782)</t>
  </si>
  <si>
    <t>1103.3.01.01 (15475)</t>
  </si>
  <si>
    <t>1103.3.01.01.001 (15430)</t>
  </si>
  <si>
    <t>1103.3.01.01.001.001 (1204)</t>
  </si>
  <si>
    <t>1103.3.01.01.510 (2010)</t>
  </si>
  <si>
    <t>1103.3.01.01.510.017 (2583)</t>
  </si>
  <si>
    <t>1103.3.01.01.510.020 (2919)</t>
  </si>
  <si>
    <t>1103.3.01.01.510.021 (2998)</t>
  </si>
  <si>
    <t>1103.3.01.01.510.022 (2999)</t>
  </si>
  <si>
    <t>1103.3.01.01.510.023 (3000)</t>
  </si>
  <si>
    <t>1103.3.01.01.510.024 (3001)</t>
  </si>
  <si>
    <t>1103.3.01.01.510.027 (3093)</t>
  </si>
  <si>
    <t>1104 (10791)</t>
  </si>
  <si>
    <t>1104.1 (10792)</t>
  </si>
  <si>
    <t>1104.1.01 (15283)</t>
  </si>
  <si>
    <t>1104.1.01.00.000.007 (2966)</t>
  </si>
  <si>
    <t>1104.9 (10796)</t>
  </si>
  <si>
    <t>1104.9.01 (3132)</t>
  </si>
  <si>
    <t>1104.9.01.00.000.001 (3131)</t>
  </si>
  <si>
    <t>COMPLEXO RIO DAS FLORES E BANDEIRANTE</t>
  </si>
  <si>
    <t>1105 (10797)</t>
  </si>
  <si>
    <t>1105.1 (10798)</t>
  </si>
  <si>
    <t>1105.1.01 (10799)</t>
  </si>
  <si>
    <t>1105.1.01.01 (543)</t>
  </si>
  <si>
    <t>1105.1.01.01.001 (545)</t>
  </si>
  <si>
    <t>1105.1.01.01.001.002 (313)</t>
  </si>
  <si>
    <t>1105.1.01.01.001.003 (3090)</t>
  </si>
  <si>
    <t>1105.1.01.01.001.004 (3110)</t>
  </si>
  <si>
    <t>1105.1.01.01.002 (2466)</t>
  </si>
  <si>
    <t>1105.1.01.01.002.001 (2465)</t>
  </si>
  <si>
    <t>1105.1.02 (10800)</t>
  </si>
  <si>
    <t>1105.1.02.01 (544)</t>
  </si>
  <si>
    <t>1105.1.02.01.001 (546)</t>
  </si>
  <si>
    <t>1105.1.02.01.001.002 (314)</t>
  </si>
  <si>
    <t>1105.1.02.01.001.003 (2077)</t>
  </si>
  <si>
    <t>1105.1.02.01.001.004 (3111)</t>
  </si>
  <si>
    <t>1105.1.03 (10801)</t>
  </si>
  <si>
    <t>1105.1.03.01 (547)</t>
  </si>
  <si>
    <t>1105.1.03.01.001 (548)</t>
  </si>
  <si>
    <t>1105.1.03.01.001.001 (1249)</t>
  </si>
  <si>
    <t>1105.1.03.01.001.004 (366)</t>
  </si>
  <si>
    <t>1105.1.03.01.001.005 (799)</t>
  </si>
  <si>
    <t>1105.1.03.01.001.006 (855)</t>
  </si>
  <si>
    <t>1105.1.03.01.001.008 (2107)</t>
  </si>
  <si>
    <t>1105.1.03.01.001.009 (3019)</t>
  </si>
  <si>
    <t>1105.1.03.01.002 (15346)</t>
  </si>
  <si>
    <t>1105.1.03.01.002.001 (10585)</t>
  </si>
  <si>
    <t>1105.1.04 (10802)</t>
  </si>
  <si>
    <t>1105.1.04.01 (549)</t>
  </si>
  <si>
    <t>1105.1.04.01.001 (550)</t>
  </si>
  <si>
    <t>1105.1.04.01.001.002 (2068)</t>
  </si>
  <si>
    <t>1105.1.05 (10803)</t>
  </si>
  <si>
    <t>1105.1.05.01 (551)</t>
  </si>
  <si>
    <t>1105.1.05.01.001 (552)</t>
  </si>
  <si>
    <t>1105.1.05.01.001.003 (2069)</t>
  </si>
  <si>
    <t>1105.1.99 (10805)</t>
  </si>
  <si>
    <t>1105.1.99.01 (556)</t>
  </si>
  <si>
    <t>1105.1.99.01.001 (557)</t>
  </si>
  <si>
    <t>1105.1.99.01.001.001 (1259)</t>
  </si>
  <si>
    <t>1105.1.99.01.001.002 (273)</t>
  </si>
  <si>
    <t>1105.1.99.01.002 (3012)</t>
  </si>
  <si>
    <t>1105.1.99.01.002.001 (3013)</t>
  </si>
  <si>
    <t>1105.1.99.02 (2410)</t>
  </si>
  <si>
    <t>1105.1.99.02.001.002 (2412)</t>
  </si>
  <si>
    <t>1107 (10823)</t>
  </si>
  <si>
    <t>1107.2 (10825)</t>
  </si>
  <si>
    <t>1107.2.01 (10826)</t>
  </si>
  <si>
    <t>1107.2.01.01 (15340)</t>
  </si>
  <si>
    <t>1107.2.01.01.000.001 (237)</t>
  </si>
  <si>
    <t>1107.2.01.01.000.003 (2587)</t>
  </si>
  <si>
    <t>1107.2.01.01.000.004 (2879)</t>
  </si>
  <si>
    <t>1107.2.01.02 (562)</t>
  </si>
  <si>
    <t>1107.2.01.02.000.001 (240)</t>
  </si>
  <si>
    <t>1107.3 (10833)</t>
  </si>
  <si>
    <t>1107.3.03 (15395)</t>
  </si>
  <si>
    <t>1107.3.03.00.000.001 (1988)</t>
  </si>
  <si>
    <t>1112 (10868)</t>
  </si>
  <si>
    <t>1112.2 (10870)</t>
  </si>
  <si>
    <t>1112.2.01 (15483)</t>
  </si>
  <si>
    <t>1112.2.01.01 (15387)</t>
  </si>
  <si>
    <t>1112.2.01.01.001 (15176)</t>
  </si>
  <si>
    <t>1112.2.01.01.001.001 (1312)</t>
  </si>
  <si>
    <t>1112.2.01.01.001.003 (1315)</t>
  </si>
  <si>
    <t>1112.2.01.01.001.005 (3011)</t>
  </si>
  <si>
    <t>1112.2.01.01.001.007 (3042)</t>
  </si>
  <si>
    <t>1112.2.01.01.002 (15385)</t>
  </si>
  <si>
    <t>1112.2.01.01.002.001 (10575)</t>
  </si>
  <si>
    <t>1119 (10897)</t>
  </si>
  <si>
    <t>1119.1 (10898)</t>
  </si>
  <si>
    <t>1119.1.01 (10899)</t>
  </si>
  <si>
    <t>1119.1.01.01 (15236)</t>
  </si>
  <si>
    <t>1119.1.01.01.001 (15465)</t>
  </si>
  <si>
    <t>1119.1.01.01.001.001 (1235)</t>
  </si>
  <si>
    <t>1119.1.01.01.001.002 (1236)</t>
  </si>
  <si>
    <t>1119.1.01.01.001.006 (1431)</t>
  </si>
  <si>
    <t>1119.1.01.01.001.007 (1435)</t>
  </si>
  <si>
    <t>1119.1.01.01.001.009 (183)</t>
  </si>
  <si>
    <t>1119.1.01.01.001.013 (261)</t>
  </si>
  <si>
    <t>1119.1.01.01.001.022 (2498)</t>
  </si>
  <si>
    <t>1119.1.01.01.001.032 (2444)</t>
  </si>
  <si>
    <t>1119.1.01.01.002 (15425)</t>
  </si>
  <si>
    <t>1119.1.01.01.002.003 (2422)</t>
  </si>
  <si>
    <t>1119.1.02 (10900)</t>
  </si>
  <si>
    <t>1119.1.02.01 (15220)</t>
  </si>
  <si>
    <t>1119.1.02.01.001 (15345)</t>
  </si>
  <si>
    <t>1119.1.02.01.001.006 (247)</t>
  </si>
  <si>
    <t>1119.1.02.02 (563)</t>
  </si>
  <si>
    <t>1119.1.02.02.002 (15357)</t>
  </si>
  <si>
    <t>1119.1.02.02.002.001 (10572)</t>
  </si>
  <si>
    <t>1119.1.12 (10914)</t>
  </si>
  <si>
    <t>1119.1.12.00.000.002 (1789)</t>
  </si>
  <si>
    <t>1119.1.12.00.000.003 (1790)</t>
  </si>
  <si>
    <t>1119.1.99 (10917)</t>
  </si>
  <si>
    <t>1119.1.99.01 (15441)</t>
  </si>
  <si>
    <t>1119.1.99.01.001 (15165)</t>
  </si>
  <si>
    <t>1119.1.99.01.001.028 (2829)</t>
  </si>
  <si>
    <t>1119.1.99.01.005 (892)</t>
  </si>
  <si>
    <t>1119.1.99.01.005.001 (887)</t>
  </si>
  <si>
    <t>1119.1.99.01.005.006 (893)</t>
  </si>
  <si>
    <t>1119.1.99.01.005.007 (894)</t>
  </si>
  <si>
    <t>1119.1.99.01.005.008 (2568)</t>
  </si>
  <si>
    <t>1119.1.99.01.005.009 (2786)</t>
  </si>
  <si>
    <t>1119.1.99.01.005.011 (3107)</t>
  </si>
  <si>
    <t>1200 (10927)</t>
  </si>
  <si>
    <t>1205 (10998)</t>
  </si>
  <si>
    <t>1205.1 (10999)</t>
  </si>
  <si>
    <t>1205.1.99 (11006)</t>
  </si>
  <si>
    <t>1205.1.99.01 (15422)</t>
  </si>
  <si>
    <t>1205.1.99.01.000.001 (1489)</t>
  </si>
  <si>
    <t>1210 (11035)</t>
  </si>
  <si>
    <t>1210.1 (11036)</t>
  </si>
  <si>
    <t>1210.1.02 (11038)</t>
  </si>
  <si>
    <t>1210.1.02.01.001.001 (2354)</t>
  </si>
  <si>
    <t>1210.2 (11040)</t>
  </si>
  <si>
    <t>1210.2.02 (11042)</t>
  </si>
  <si>
    <t>1210.2.02.01.001.001 (2355)</t>
  </si>
  <si>
    <t>1215 (11072)</t>
  </si>
  <si>
    <t>1215.1 (11073)</t>
  </si>
  <si>
    <t>1215.1.01 (11074)</t>
  </si>
  <si>
    <t>1215.1.01.01.004 (3051)</t>
  </si>
  <si>
    <t>1215.1.01.01.004.001 (3049)</t>
  </si>
  <si>
    <t>1220 (11147)</t>
  </si>
  <si>
    <t>1220.1 (11148)</t>
  </si>
  <si>
    <t>1220.1.01 (11149)</t>
  </si>
  <si>
    <t>1220.1.01.01 (11150)</t>
  </si>
  <si>
    <t>1220.1.01.01.001 (15233)</t>
  </si>
  <si>
    <t>1220.1.01.01.001.001 (1405)</t>
  </si>
  <si>
    <t>1220.1.01.01.001.002 (1406)</t>
  </si>
  <si>
    <t>1220.1.01.01.001.003 (1407)</t>
  </si>
  <si>
    <t>1220.1.02 (11154)</t>
  </si>
  <si>
    <t>1220.1.02.01 (11155)</t>
  </si>
  <si>
    <t>1220.1.02.01.001 (15428)</t>
  </si>
  <si>
    <t>1220.1.02.01.001.002 (1414)</t>
  </si>
  <si>
    <t>1220.4 (11183)</t>
  </si>
  <si>
    <t>1220.4.01 (11184)</t>
  </si>
  <si>
    <t>1220.4.01.01 (11185)</t>
  </si>
  <si>
    <t>1220.4.01.01.001.001 (2433)</t>
  </si>
  <si>
    <t>1220.4.01.03 (11186)</t>
  </si>
  <si>
    <t>1220.4.01.03.001.001 (1911)</t>
  </si>
  <si>
    <t>1220.4.02 (11190)</t>
  </si>
  <si>
    <t>1220.4.02.03 (11192)</t>
  </si>
  <si>
    <t>1220.4.02.03.001.001 (1914)</t>
  </si>
  <si>
    <t>1220.9 (11201)</t>
  </si>
  <si>
    <t>1220.9.01 (564)</t>
  </si>
  <si>
    <t>1220.9.01.00.000.002 (1449)</t>
  </si>
  <si>
    <t>1220.9.01.00.000.006 (3006)</t>
  </si>
  <si>
    <t>1232 (11202)</t>
  </si>
  <si>
    <t>1232.1 (11203)</t>
  </si>
  <si>
    <t>1232.1.01 (11204)</t>
  </si>
  <si>
    <t>1232.1.01.01 (11205)</t>
  </si>
  <si>
    <t>1232.1.01.01.001 (15200)</t>
  </si>
  <si>
    <t>1232.1.01.01.001.001 (1472)</t>
  </si>
  <si>
    <t>1232.1.01.01.002 (15455)</t>
  </si>
  <si>
    <t>1232.1.01.01.002.002 (10600)</t>
  </si>
  <si>
    <t>1232.1.01.01.003 (15309)</t>
  </si>
  <si>
    <t>1232.1.01.01.003.001 (463)</t>
  </si>
  <si>
    <t>1232.1.01.02 (11206)</t>
  </si>
  <si>
    <t>1232.1.01.02.001 (15282)</t>
  </si>
  <si>
    <t>1232.1.01.02.001.001 (1482)</t>
  </si>
  <si>
    <t>1232.1.01.02.002 (15378)</t>
  </si>
  <si>
    <t>1232.1.01.02.002.002 (10601)</t>
  </si>
  <si>
    <t>1232.1.01.02.003 (15182)</t>
  </si>
  <si>
    <t>1232.1.01.02.003.001 (465)</t>
  </si>
  <si>
    <t>1232.1.01.02.003.002 (1968)</t>
  </si>
  <si>
    <t>1232.1.01.03 (11207)</t>
  </si>
  <si>
    <t>1232.1.01.03.001 (15151)</t>
  </si>
  <si>
    <t>1232.1.01.03.001.001 (1499)</t>
  </si>
  <si>
    <t>1232.1.01.03.002 (15247)</t>
  </si>
  <si>
    <t>1232.1.01.03.002.002 (10602)</t>
  </si>
  <si>
    <t>1232.1.01.03.003 (15249)</t>
  </si>
  <si>
    <t>1232.1.01.03.003.001 (467)</t>
  </si>
  <si>
    <t>1232.1.01.03.003.002 (1967)</t>
  </si>
  <si>
    <t>1232.1.01.04 (11208)</t>
  </si>
  <si>
    <t>1232.1.01.04.001 (15324)</t>
  </si>
  <si>
    <t>1232.1.01.04.001.001 (1512)</t>
  </si>
  <si>
    <t>1232.1.01.04.002 (15481)</t>
  </si>
  <si>
    <t>1232.1.01.04.002.002 (10603)</t>
  </si>
  <si>
    <t>1232.1.01.04.003 (15339)</t>
  </si>
  <si>
    <t>1232.1.01.04.003.001 (469)</t>
  </si>
  <si>
    <t>1232.1.01.04.003.002 (1798)</t>
  </si>
  <si>
    <t>1232.1.01.05 (11209)</t>
  </si>
  <si>
    <t>1232.1.01.05.001 (15235)</t>
  </si>
  <si>
    <t>1232.1.01.05.001.001 (1527)</t>
  </si>
  <si>
    <t>1232.1.01.05.002 (15420)</t>
  </si>
  <si>
    <t>1232.1.01.05.002.002 (10604)</t>
  </si>
  <si>
    <t>1232.1.01.06 (11210)</t>
  </si>
  <si>
    <t>1232.1.01.06.001 (15337)</t>
  </si>
  <si>
    <t>1232.1.01.06.001.001 (1537)</t>
  </si>
  <si>
    <t>1232.1.01.06.002 (15409)</t>
  </si>
  <si>
    <t>1232.1.01.06.002.002 (10605)</t>
  </si>
  <si>
    <t>1232.1.01.06.003 (15373)</t>
  </si>
  <si>
    <t>1232.1.01.06.003.001 (471)</t>
  </si>
  <si>
    <t>1232.1.01.06.003.002 (2579)</t>
  </si>
  <si>
    <t>1232.1.02 (11211)</t>
  </si>
  <si>
    <t>1232.1.02.02 (11213)</t>
  </si>
  <si>
    <t>1232.1.02.02.001 (15486)</t>
  </si>
  <si>
    <t>1232.1.02.02.001.001 (1548)</t>
  </si>
  <si>
    <t>1232.1.02.02.002 (15316)</t>
  </si>
  <si>
    <t>1232.1.02.02.002.002 (10607)</t>
  </si>
  <si>
    <t>1232.1.02.02.003 (15257)</t>
  </si>
  <si>
    <t>1232.1.02.02.003.001 (475)</t>
  </si>
  <si>
    <t>1232.1.02.02.003.002 (1970)</t>
  </si>
  <si>
    <t>1232.1.02.03 (11214)</t>
  </si>
  <si>
    <t>1232.1.02.03.001 (15214)</t>
  </si>
  <si>
    <t>1232.1.02.03.001.001 (1562)</t>
  </si>
  <si>
    <t>1232.1.02.03.002 (15259)</t>
  </si>
  <si>
    <t>1232.1.02.03.002.002 (10611)</t>
  </si>
  <si>
    <t>1232.1.02.03.003 (15184)</t>
  </si>
  <si>
    <t>1232.1.02.03.003.001 (477)</t>
  </si>
  <si>
    <t>1232.1.02.03.003.002 (1969)</t>
  </si>
  <si>
    <t>1232.1.02.04 (11215)</t>
  </si>
  <si>
    <t>1232.1.02.04.001 (15256)</t>
  </si>
  <si>
    <t>1232.1.02.04.001.001 (1578)</t>
  </si>
  <si>
    <t>1232.1.02.04.002 (15388)</t>
  </si>
  <si>
    <t>1232.1.02.04.002.002 (10608)</t>
  </si>
  <si>
    <t>1232.1.02.04.003 (15272)</t>
  </si>
  <si>
    <t>1232.1.02.04.003.001 (479)</t>
  </si>
  <si>
    <t>1232.1.02.04.003.002 (1832)</t>
  </si>
  <si>
    <t>1232.1.02.05 (11216)</t>
  </si>
  <si>
    <t>1232.1.02.05.001 (15294)</t>
  </si>
  <si>
    <t>1232.1.02.05.001.001 (1592)</t>
  </si>
  <si>
    <t>1232.1.02.05.002 (15183)</t>
  </si>
  <si>
    <t>1232.1.02.05.002.002 (10609)</t>
  </si>
  <si>
    <t>1232.1.02.06 (11217)</t>
  </si>
  <si>
    <t>1232.1.02.06.001 (15243)</t>
  </si>
  <si>
    <t>1232.1.02.06.001.001 (1607)</t>
  </si>
  <si>
    <t>1232.1.02.06.002 (15442)</t>
  </si>
  <si>
    <t>1232.1.02.06.002.002 (10610)</t>
  </si>
  <si>
    <t>1232.1.02.06.003 (15472)</t>
  </si>
  <si>
    <t>1232.1.02.06.003.001 (481)</t>
  </si>
  <si>
    <t>1232.1.02.06.003.002 (2578)</t>
  </si>
  <si>
    <t>1232.1.03 (11218)</t>
  </si>
  <si>
    <t>1232.1.03.01 (11219)</t>
  </si>
  <si>
    <t>1232.1.03.01.001 (15467)</t>
  </si>
  <si>
    <t>1232.1.03.01.001.001 (1629)</t>
  </si>
  <si>
    <t>1232.1.03.01.001.003 (1496)</t>
  </si>
  <si>
    <t>(-) TERRENOS TRANSF.</t>
  </si>
  <si>
    <t>1232.1.03.04 (11222)</t>
  </si>
  <si>
    <t>1232.1.03.04.001 (15297)</t>
  </si>
  <si>
    <t>1232.1.03.04.001.001 (203)</t>
  </si>
  <si>
    <t>1232.1.03.04.001.002 (455)</t>
  </si>
  <si>
    <t>1232.1.03.04.001.003 (1173)</t>
  </si>
  <si>
    <t>(-) MÁQUINAS E EQUIPAMENTOS TRANSF.</t>
  </si>
  <si>
    <t>1232.1.03.04.001.004 (1176)</t>
  </si>
  <si>
    <t>1232.1.03.04.003 (749)</t>
  </si>
  <si>
    <t>1232.1.03.04.003.001 (750)</t>
  </si>
  <si>
    <t>1232.1.03.04.003.002 (1177)</t>
  </si>
  <si>
    <t>1232.1.03.06 (11224)</t>
  </si>
  <si>
    <t>1232.1.03.06.001 (15274)</t>
  </si>
  <si>
    <t>1232.1.03.06.001.001 (322)</t>
  </si>
  <si>
    <t>1232.1.03.06.001.002 (1175)</t>
  </si>
  <si>
    <t>(-) MÓVEIS E UTENSÍLIOS TRANSF.</t>
  </si>
  <si>
    <t>1232.1.03.06.003 (751)</t>
  </si>
  <si>
    <t>1232.1.03.06.003.001 (752)</t>
  </si>
  <si>
    <t>1232.1.03.06.003.002 (1178)</t>
  </si>
  <si>
    <t>1232.1.03.07 (11225)</t>
  </si>
  <si>
    <t>1232.1.03.07.002 (15201)</t>
  </si>
  <si>
    <t>1232.1.03.07.002.009 (340)</t>
  </si>
  <si>
    <t>1232.1.03.08 (11226)</t>
  </si>
  <si>
    <t>1232.1.03.08.003 (15459)</t>
  </si>
  <si>
    <t>1232.1.03.08.003.001 (1701)</t>
  </si>
  <si>
    <t>1232.1.03.08.003.003 (580)</t>
  </si>
  <si>
    <t>1232.1.03.08.003.004 (1892)</t>
  </si>
  <si>
    <t>1232.1.03.08.003.005 (1893)</t>
  </si>
  <si>
    <t>1232.1.03.08.003.006 (1894)</t>
  </si>
  <si>
    <t>1232.1.03.08.003.007 (2450)</t>
  </si>
  <si>
    <t>1232.1.03.08.006 (15315)</t>
  </si>
  <si>
    <t>1232.1.03.08.006.001 (1739)</t>
  </si>
  <si>
    <t>1232.1.03.08.007 (782)</t>
  </si>
  <si>
    <t>1232.1.03.08.007.001 (449)</t>
  </si>
  <si>
    <t>1232.1.03.08.007.002 (3043)</t>
  </si>
  <si>
    <t>1232.1.03.10 (11228)</t>
  </si>
  <si>
    <t>1232.1.03.10.001 (567)</t>
  </si>
  <si>
    <t>1232.1.03.10.001.001 (299)</t>
  </si>
  <si>
    <t>1232.1.04 (11233)</t>
  </si>
  <si>
    <t>1232.1.04.04 (11236)</t>
  </si>
  <si>
    <t>1232.1.04.04.002 (15372)</t>
  </si>
  <si>
    <t>1232.1.04.04.002.001 (10614)</t>
  </si>
  <si>
    <t>1232.1.05 (11239)</t>
  </si>
  <si>
    <t>1232.1.05.04 (11242)</t>
  </si>
  <si>
    <t>1232.1.05.04.002 (15485)</t>
  </si>
  <si>
    <t>1232.1.05.04.002.001 (10616)</t>
  </si>
  <si>
    <t>1232.1.70 (11259)</t>
  </si>
  <si>
    <t>1232.1.70.01 (570)</t>
  </si>
  <si>
    <t>1232.1.70.01.003 (571)</t>
  </si>
  <si>
    <t>1232.1.70.01.003.001 (504)</t>
  </si>
  <si>
    <t>1232.1.70.02 (572)</t>
  </si>
  <si>
    <t>1232.1.70.02.003 (573)</t>
  </si>
  <si>
    <t>1232.1.70.02.003.001 (505)</t>
  </si>
  <si>
    <t>1232.1.70.03 (574)</t>
  </si>
  <si>
    <t>1232.1.70.03.003 (575)</t>
  </si>
  <si>
    <t>1232.1.70.03.003.001 (506)</t>
  </si>
  <si>
    <t>1232.1.70.04 (576)</t>
  </si>
  <si>
    <t>1232.1.70.04.003 (577)</t>
  </si>
  <si>
    <t>1232.1.70.04.003.001 (507)</t>
  </si>
  <si>
    <t>1232.1.70.06 (579)</t>
  </si>
  <si>
    <t>1232.1.70.06.003 (578)</t>
  </si>
  <si>
    <t>1232.1.70.06.003.001 (508)</t>
  </si>
  <si>
    <t>1232.1.72 (11263)</t>
  </si>
  <si>
    <t>1232.1.72.02 (11265)</t>
  </si>
  <si>
    <t>1232.1.72.02.003 (815)</t>
  </si>
  <si>
    <t>1232.1.72.02.003.001 (816)</t>
  </si>
  <si>
    <t>1232.1.72.03 (11266)</t>
  </si>
  <si>
    <t>1232.1.72.03.003 (817)</t>
  </si>
  <si>
    <t>1232.1.72.03.003.001 (818)</t>
  </si>
  <si>
    <t>1232.1.72.04 (11267)</t>
  </si>
  <si>
    <t>1232.1.72.04.003 (819)</t>
  </si>
  <si>
    <t>1232.1.72.04.003.001 (820)</t>
  </si>
  <si>
    <t>1232.1.72.06 (11269)</t>
  </si>
  <si>
    <t>1232.1.72.06.003 (823)</t>
  </si>
  <si>
    <t>1232.1.72.06.003.001 (824)</t>
  </si>
  <si>
    <t>1232.4 (11396)</t>
  </si>
  <si>
    <t>1232.4.01 (11397)</t>
  </si>
  <si>
    <t>1232.4.01.04 (11400)</t>
  </si>
  <si>
    <t>1232.4.01.04.001 (15330)</t>
  </si>
  <si>
    <t>1232.4.01.04.001.001 (1772)</t>
  </si>
  <si>
    <t>1232.4.01.04.001.002 (1773)</t>
  </si>
  <si>
    <t>1232.4.01.04.001.003 (1774)</t>
  </si>
  <si>
    <t>1232.4.01.04.001.004 (1775)</t>
  </si>
  <si>
    <t>1232.4.01.04.001.005 (1776)</t>
  </si>
  <si>
    <t>1232.4.01.04.001.006 (2942)</t>
  </si>
  <si>
    <t>1232.4.01.05 (11401)</t>
  </si>
  <si>
    <t>1232.4.01.05.001 (15160)</t>
  </si>
  <si>
    <t>1232.4.01.05.001.001 (1782)</t>
  </si>
  <si>
    <t>1232.4.01.05.001.002 (2941)</t>
  </si>
  <si>
    <t>1232.4.01.06 (11402)</t>
  </si>
  <si>
    <t>1232.4.01.06.001 (15408)</t>
  </si>
  <si>
    <t>1232.4.01.06.001.001 (1787)</t>
  </si>
  <si>
    <t>1232.4.02 (11403)</t>
  </si>
  <si>
    <t>1232.4.02.04 (11406)</t>
  </si>
  <si>
    <t>1232.4.02.04.001 (15466)</t>
  </si>
  <si>
    <t>1232.4.02.04.001.001 (1808)</t>
  </si>
  <si>
    <t>1232.4.02.04.001.002 (1809)</t>
  </si>
  <si>
    <t>1232.4.02.04.001.003 (1810)</t>
  </si>
  <si>
    <t>1232.4.02.04.001.004 (1811)</t>
  </si>
  <si>
    <t>1232.4.02.04.001.005 (1812)</t>
  </si>
  <si>
    <t>1232.4.02.04.001.006 (2946)</t>
  </si>
  <si>
    <t>1232.4.02.05 (11407)</t>
  </si>
  <si>
    <t>1232.4.02.05.001 (15334)</t>
  </si>
  <si>
    <t>1232.4.02.05.001.001 (1817)</t>
  </si>
  <si>
    <t>1232.4.02.05.001.002 (2945)</t>
  </si>
  <si>
    <t>1232.4.02.06 (11408)</t>
  </si>
  <si>
    <t>1232.4.02.06.001 (15322)</t>
  </si>
  <si>
    <t>1232.4.02.06.001.001 (1822)</t>
  </si>
  <si>
    <t>1232.4.03 (11409)</t>
  </si>
  <si>
    <t>1232.4.03.01 (11410)</t>
  </si>
  <si>
    <t>1232.4.03.01.001.001 (2434)</t>
  </si>
  <si>
    <t>1232.4.03.04 (11412)</t>
  </si>
  <si>
    <t>1232.4.03.04.000.001 (91)</t>
  </si>
  <si>
    <t>1232.4.03.04.000.002 (246)</t>
  </si>
  <si>
    <t>1232.4.03.04.000.003 (1171)</t>
  </si>
  <si>
    <t>(-) MAQUINAS E EQUIPAMENTOS TRANSF.</t>
  </si>
  <si>
    <t>1232.4.03.04.000.004 (1174)</t>
  </si>
  <si>
    <t>(-) COMPUTADORES E PERIFÉRICOS TRANSF.</t>
  </si>
  <si>
    <t>1232.4.03.06 (11414)</t>
  </si>
  <si>
    <t>1232.4.03.06.000.001 (95)</t>
  </si>
  <si>
    <t>1232.4.03.06.000.002 (1172)</t>
  </si>
  <si>
    <t>(-) MOVEIS E UTENSÍLIOS TRANSF.</t>
  </si>
  <si>
    <t>1233 (11452)</t>
  </si>
  <si>
    <t>1233.1 (11453)</t>
  </si>
  <si>
    <t>1233.1.01 (11454)</t>
  </si>
  <si>
    <t>1233.1.01.02 (11456)</t>
  </si>
  <si>
    <t>1233.1.01.02.002 (771)</t>
  </si>
  <si>
    <t>1233.1.01.02.002.001 (10590)</t>
  </si>
  <si>
    <t>1233.1.01.03 (11457)</t>
  </si>
  <si>
    <t>1233.1.01.03.001 (834)</t>
  </si>
  <si>
    <t>1233.1.01.03.001.003 (1466)</t>
  </si>
  <si>
    <t>1233.1.01.03.002 (581)</t>
  </si>
  <si>
    <t>1233.1.01.03.002.002 (10599)</t>
  </si>
  <si>
    <t>1233.1.01.03.003 (835)</t>
  </si>
  <si>
    <t>1233.1.01.03.003.001 (461)</t>
  </si>
  <si>
    <t>1233.1.01.03.003.002 (3067)</t>
  </si>
  <si>
    <t>1233.1.02 (11459)</t>
  </si>
  <si>
    <t>1233.1.02.02 (11461)</t>
  </si>
  <si>
    <t>1233.1.02.02.002 (772)</t>
  </si>
  <si>
    <t>1233.1.02.02.002.002 (10591)</t>
  </si>
  <si>
    <t>1233.1.02.03 (11462)</t>
  </si>
  <si>
    <t>1233.1.02.03.001 (836)</t>
  </si>
  <si>
    <t>1233.1.02.03.001.002 (1552)</t>
  </si>
  <si>
    <t>1233.1.02.03.002 (789)</t>
  </si>
  <si>
    <t>1233.1.02.03.002.001 (10606)</t>
  </si>
  <si>
    <t>1233.1.02.03.003 (837)</t>
  </si>
  <si>
    <t>1233.1.02.03.003.001 (473)</t>
  </si>
  <si>
    <t>1233.1.02.03.003.002 (3069)</t>
  </si>
  <si>
    <t>1233.1.70 (11488)</t>
  </si>
  <si>
    <t>1233.1.70.99 (827)</t>
  </si>
  <si>
    <t>1233.1.70.99.003 (828)</t>
  </si>
  <si>
    <t>1233.1.70.99.003.001 (829)</t>
  </si>
  <si>
    <t>1233.1.72 (11492)</t>
  </si>
  <si>
    <t>1233.1.72.99 (11495)</t>
  </si>
  <si>
    <t>1233.1.72.99.003 (830)</t>
  </si>
  <si>
    <t>1233.1.72.99.003.001 (831)</t>
  </si>
  <si>
    <t>1233.3 (11537)</t>
  </si>
  <si>
    <t>1233.3.03 (11546)</t>
  </si>
  <si>
    <t>1233.3.03.01 (11547)</t>
  </si>
  <si>
    <t>1233.3.03.01.001.001 (2909)</t>
  </si>
  <si>
    <t>1233.4 (11578)</t>
  </si>
  <si>
    <t>1233.4.01 (11579)</t>
  </si>
  <si>
    <t>1233.4.01.03 (11581)</t>
  </si>
  <si>
    <t>1233.4.01.03.001 (582)</t>
  </si>
  <si>
    <t>1233.4.01.03.001.001 (1755)</t>
  </si>
  <si>
    <t>1233.4.02 (11583)</t>
  </si>
  <si>
    <t>1233.4.02.03 (11585)</t>
  </si>
  <si>
    <t>1233.4.02.03.001 (583)</t>
  </si>
  <si>
    <t>1233.4.02.03.001.001 (1794)</t>
  </si>
  <si>
    <t>2000 (11614)</t>
  </si>
  <si>
    <t>2100 (11615)</t>
  </si>
  <si>
    <t>2101 (11616)</t>
  </si>
  <si>
    <t>2101.1 (11617)</t>
  </si>
  <si>
    <t>2101.1.01 (15171)</t>
  </si>
  <si>
    <t>2101.1.01.01 (15222)</t>
  </si>
  <si>
    <t>2101.1.01.01.001 (15194)</t>
  </si>
  <si>
    <t>2101.1.01.01.001.001 (2008)</t>
  </si>
  <si>
    <t>2101.1.01.01.002 (15443)</t>
  </si>
  <si>
    <t>2101.1.01.01.002.001 (10579)</t>
  </si>
  <si>
    <t>2101.3 (11619)</t>
  </si>
  <si>
    <t>2101.3.03 (15173)</t>
  </si>
  <si>
    <t>2101.3.03.01 (15229)</t>
  </si>
  <si>
    <t>2101.3.03.01.000.004 (3054)</t>
  </si>
  <si>
    <t>2101.3.03.01.000.012 (3079)</t>
  </si>
  <si>
    <t>2101.3.03.01.000.015 (3083)</t>
  </si>
  <si>
    <t>2101.3.03.01.000.017 (3087)</t>
  </si>
  <si>
    <t>2101.3.03.01.000.018 (3091)</t>
  </si>
  <si>
    <t>2101.3.03.01.000.020 (3094)</t>
  </si>
  <si>
    <t>2101.3.03.01.000.021 (3095)</t>
  </si>
  <si>
    <t>2101.3.03.01.000.022 (3096)</t>
  </si>
  <si>
    <t>2101.3.03.01.000.023 (3097)</t>
  </si>
  <si>
    <t>2101.3.03.01.000.024 (3098)</t>
  </si>
  <si>
    <t>2101.3.03.01.000.026 (3102)</t>
  </si>
  <si>
    <t>2101.3.03.01.001 (15362)</t>
  </si>
  <si>
    <t>2101.3.03.01.001.008 (9008)</t>
  </si>
  <si>
    <t>2101.3.03.01.001.011 (9011)</t>
  </si>
  <si>
    <t>2101.3.03.01.001.027 (9027)</t>
  </si>
  <si>
    <t>2101.3.03.01.001.067 (9067)</t>
  </si>
  <si>
    <t>2101.3.03.01.001.072 (9072)</t>
  </si>
  <si>
    <t>2101.3.03.01.001.097 (9097)</t>
  </si>
  <si>
    <t>2101.3.03.01.001.151 (9151)</t>
  </si>
  <si>
    <t>2101.3.03.01.001.153 (9153)</t>
  </si>
  <si>
    <t>2101.3.03.01.001.154 (9154)</t>
  </si>
  <si>
    <t>2101.3.03.01.001.181 (9181)</t>
  </si>
  <si>
    <t>2101.3.03.01.001.184 (9184)</t>
  </si>
  <si>
    <t>2101.3.03.01.001.185 (9185)</t>
  </si>
  <si>
    <t>2101.3.03.01.001.198 (9198)</t>
  </si>
  <si>
    <t>2101.3.03.01.001.220 (9220)</t>
  </si>
  <si>
    <t>2101.3.03.01.001.221 (9221)</t>
  </si>
  <si>
    <t>2101.3.03.01.001.247 (9247)</t>
  </si>
  <si>
    <t>2101.3.03.01.001.271 (9271)</t>
  </si>
  <si>
    <t>2101.3.03.01.001.340 (9340)</t>
  </si>
  <si>
    <t>2101.3.03.01.001.341 (9341)</t>
  </si>
  <si>
    <t>2101.3.03.01.001.345 (9345)</t>
  </si>
  <si>
    <t>2101.3.03.01.001.352 (9352)</t>
  </si>
  <si>
    <t>2101.3.03.01.001.414 (9414)</t>
  </si>
  <si>
    <t>2101.3.03.01.001.417 (9417)</t>
  </si>
  <si>
    <t>2101.3.03.01.001.429 (9429)</t>
  </si>
  <si>
    <t>2101.3.03.01.001.432 (9432)</t>
  </si>
  <si>
    <t>2101.3.03.01.001.466 (9466)</t>
  </si>
  <si>
    <t>2101.3.03.01.001.479 (9479)</t>
  </si>
  <si>
    <t>2101.3.03.01.001.482 (9482)</t>
  </si>
  <si>
    <t>2101.3.03.01.001.546 (9546)</t>
  </si>
  <si>
    <t>2101.3.03.01.001.604 (9604)</t>
  </si>
  <si>
    <t>2101.3.03.01.001.607 (9607)</t>
  </si>
  <si>
    <t>2101.3.03.01.001.645 (9645)</t>
  </si>
  <si>
    <t>2101.3.03.01.001.667 (9667)</t>
  </si>
  <si>
    <t>2101.3.03.01.001.670 (2964)</t>
  </si>
  <si>
    <t>2101.3.03.01.001.676 (9715)</t>
  </si>
  <si>
    <t>2101.3.03.01.001.678 (9678)</t>
  </si>
  <si>
    <t>2101.3.03.01.001.698 (9698)</t>
  </si>
  <si>
    <t>2101.3.03.01.001.704 (9704)</t>
  </si>
  <si>
    <t>2101.3.03.01.001.714 (9714)</t>
  </si>
  <si>
    <t>2101.3.03.01.001.717 (9717)</t>
  </si>
  <si>
    <t>2101.3.03.01.001.731 (9731)</t>
  </si>
  <si>
    <t>2101.3.03.01.001.743 (9743)</t>
  </si>
  <si>
    <t>2101.3.03.01.001.758 (9758)</t>
  </si>
  <si>
    <t>2101.3.03.01.001.813 (9813)</t>
  </si>
  <si>
    <t>2101.3.03.01.001.823 (9823)</t>
  </si>
  <si>
    <t>2101.3.03.01.001.824 (9824)</t>
  </si>
  <si>
    <t>2101.3.03.01.001.850 (9850)</t>
  </si>
  <si>
    <t>2101.3.03.01.001.874 (9874)</t>
  </si>
  <si>
    <t>2101.3.03.01.001.916 (9916)</t>
  </si>
  <si>
    <t>2101.3.03.01.001.918 (9918)</t>
  </si>
  <si>
    <t>2101.3.03.01.001.932 (9932)</t>
  </si>
  <si>
    <t>2101.3.03.01.001.985 (9985)</t>
  </si>
  <si>
    <t>2101.3.03.01.002 (15464)</t>
  </si>
  <si>
    <t>2101.3.03.01.002.999 (10568)</t>
  </si>
  <si>
    <t>2101.4 (11620)</t>
  </si>
  <si>
    <t>2101.4.01 (15292)</t>
  </si>
  <si>
    <t>2101.4.01.01 (15197)</t>
  </si>
  <si>
    <t>2101.4.01.01.001 (15301)</t>
  </si>
  <si>
    <t>2101.4.01.01.001.001 (2020)</t>
  </si>
  <si>
    <t>2101.4.01.01.001.014 (915)</t>
  </si>
  <si>
    <t>2101.4.01.01.001.017 (1995)</t>
  </si>
  <si>
    <t>2101.4.01.01.001.026 (2935)</t>
  </si>
  <si>
    <t>2101.4.01.01.001.028 (3036)</t>
  </si>
  <si>
    <t>2101.4.01.01.001.029 (3037)</t>
  </si>
  <si>
    <t>2101.4.01.01.001.030 (3038)</t>
  </si>
  <si>
    <t>2101.4.01.01.001.031 (3039)</t>
  </si>
  <si>
    <t>2103 (11656)</t>
  </si>
  <si>
    <t>2103.1 (11657)</t>
  </si>
  <si>
    <t>2103.1.01 (11658)</t>
  </si>
  <si>
    <t>2103.1.01.01 (15326)</t>
  </si>
  <si>
    <t>2103.1.01.01.001 (15470)</t>
  </si>
  <si>
    <t>2103.1.01.01.001.001 (2035)</t>
  </si>
  <si>
    <t>2103.1.01.01.001.002 (2036)</t>
  </si>
  <si>
    <t>2103.1.01.01.001.003 (2210)</t>
  </si>
  <si>
    <t>2103.1.01.01.001.004 (2212)</t>
  </si>
  <si>
    <t>2103.1.01.01.001.005 (2213)</t>
  </si>
  <si>
    <t>2103.1.01.01.001.007 (208)</t>
  </si>
  <si>
    <t>2103.1.01.01.001.008 (2037)</t>
  </si>
  <si>
    <t>2103.1.01.01.001.012 (909)</t>
  </si>
  <si>
    <t>2103.1.01.01.001.013 (910)</t>
  </si>
  <si>
    <t>2103.1.01.01.001.014 (911)</t>
  </si>
  <si>
    <t>2103.1.01.01.002 (15327)</t>
  </si>
  <si>
    <t>2103.1.01.01.002.004 (303)</t>
  </si>
  <si>
    <t>2103.1.02 (11659)</t>
  </si>
  <si>
    <t>2103.1.02.01 (15458)</t>
  </si>
  <si>
    <t>2103.1.02.01.001 (15231)</t>
  </si>
  <si>
    <t>2103.1.02.01.001.001 (2049)</t>
  </si>
  <si>
    <t>2103.1.02.01.001.003 (2050)</t>
  </si>
  <si>
    <t>2103.1.03 (11660)</t>
  </si>
  <si>
    <t>2103.1.03.01 (15354)</t>
  </si>
  <si>
    <t>2103.1.03.01.001 (15152)</t>
  </si>
  <si>
    <t>2103.1.03.01.001.001 (2057)</t>
  </si>
  <si>
    <t>2103.1.04 (11661)</t>
  </si>
  <si>
    <t>2103.1.04.01 (15406)</t>
  </si>
  <si>
    <t>2103.1.04.01.001 (15242)</t>
  </si>
  <si>
    <t>2103.1.04.01.001.001 (2064)</t>
  </si>
  <si>
    <t>2103.1.04.01.001.002 (2065)</t>
  </si>
  <si>
    <t>2103.1.04.01.002 (15421)</t>
  </si>
  <si>
    <t>2103.1.04.01.002.002 (10634)</t>
  </si>
  <si>
    <t>2103.1.04.01.002.003 (10633)</t>
  </si>
  <si>
    <t>2103.1.04.01.002.004 (883)</t>
  </si>
  <si>
    <t>2103.1.05 (11662)</t>
  </si>
  <si>
    <t>2103.1.05.01 (15341)</t>
  </si>
  <si>
    <t>2103.1.05.01.001 (15313)</t>
  </si>
  <si>
    <t>2103.1.05.01.001.002 (2075)</t>
  </si>
  <si>
    <t>2103.1.05.01.001.003 (2076)</t>
  </si>
  <si>
    <t>2103.1.05.01.001.004 (2079)</t>
  </si>
  <si>
    <t>2103.1.05.01.001.006 (222)</t>
  </si>
  <si>
    <t>2103.1.05.01.001.007 (334)</t>
  </si>
  <si>
    <t>2103.1.05.01.001.008 (354)</t>
  </si>
  <si>
    <t>2103.1.05.01.001.009 (359)</t>
  </si>
  <si>
    <t>2103.1.05.01.001.010 (1604)</t>
  </si>
  <si>
    <t>2103.1.05.01.001.011 (2424)</t>
  </si>
  <si>
    <t>2103.1.99 (11663)</t>
  </si>
  <si>
    <t>2103.1.99.01.002 (773)</t>
  </si>
  <si>
    <t>2103.1.99.01.002.001 (873)</t>
  </si>
  <si>
    <t>2103.1.99.01.002.002 (874)</t>
  </si>
  <si>
    <t>2103.1.99.01.002.003 (875)</t>
  </si>
  <si>
    <t>2103.1.99.01.002.004 (10643)</t>
  </si>
  <si>
    <t>2103.1.99.01.002.005 (10541)</t>
  </si>
  <si>
    <t>2103.1.99.01.002.006 (10542)</t>
  </si>
  <si>
    <t>2105 (11673)</t>
  </si>
  <si>
    <t>2105.1 (11674)</t>
  </si>
  <si>
    <t>2105.1.01 (11675)</t>
  </si>
  <si>
    <t>2105.1.01.01 (588)</t>
  </si>
  <si>
    <t>2105.1.01.01.001 (589)</t>
  </si>
  <si>
    <t>2105.1.01.01.001.001 (2089)</t>
  </si>
  <si>
    <t>2105.1.02 (11676)</t>
  </si>
  <si>
    <t>2105.1.02.01 (595)</t>
  </si>
  <si>
    <t>2105.1.02.01.001 (594)</t>
  </si>
  <si>
    <t>2105.1.02.01.001.001 (2125)</t>
  </si>
  <si>
    <t>2105.1.03 (11677)</t>
  </si>
  <si>
    <t>2105.1.03.01 (592)</t>
  </si>
  <si>
    <t>2105.1.03.01.001 (593)</t>
  </si>
  <si>
    <t>2105.1.03.01.001.001 (2123)</t>
  </si>
  <si>
    <t>2105.1.04 (11678)</t>
  </si>
  <si>
    <t>2105.1.04.01 (597)</t>
  </si>
  <si>
    <t>2105.1.04.01.001 (606)</t>
  </si>
  <si>
    <t>2105.1.04.01.001.001 (2124)</t>
  </si>
  <si>
    <t>2105.2 (11681)</t>
  </si>
  <si>
    <t>2105.2.01 (11682)</t>
  </si>
  <si>
    <t>2105.2.01.01 (587)</t>
  </si>
  <si>
    <t>2105.2.01.01.001 (585)</t>
  </si>
  <si>
    <t>2105.2.01.01.001.001 (2088)</t>
  </si>
  <si>
    <t>2105.2.01.01.001.002 (2091)</t>
  </si>
  <si>
    <t>2105.2.01.01.002 (586)</t>
  </si>
  <si>
    <t>2105.2.01.01.002.001 (10638)</t>
  </si>
  <si>
    <t>2105.3 (11685)</t>
  </si>
  <si>
    <t>2105.3.01 (11686)</t>
  </si>
  <si>
    <t>2105.3.01.01.001 (895)</t>
  </si>
  <si>
    <t>2105.3.01.01.001.001 (881)</t>
  </si>
  <si>
    <t>2105.3.01.01.001.002 (2154)</t>
  </si>
  <si>
    <t>2105.3.01.01.002 (774)</t>
  </si>
  <si>
    <t>2105.3.01.01.002.002 (876)</t>
  </si>
  <si>
    <t>2105.5 (11690)</t>
  </si>
  <si>
    <t>2105.5.01 (11691)</t>
  </si>
  <si>
    <t>2105.5.01.01 (591)</t>
  </si>
  <si>
    <t>2105.5.01.01.001 (604)</t>
  </si>
  <si>
    <t>2105.5.01.01.001.002 (2120)</t>
  </si>
  <si>
    <t>2105.5.02 (11692)</t>
  </si>
  <si>
    <t>2105.5.02.01 (600)</t>
  </si>
  <si>
    <t>2105.5.02.01.001 (601)</t>
  </si>
  <si>
    <t>2105.5.02.01.001.001 (2122)</t>
  </si>
  <si>
    <t>2105.6 (11695)</t>
  </si>
  <si>
    <t>2105.6.01 (11696)</t>
  </si>
  <si>
    <t>2105.6.01.01 (608)</t>
  </si>
  <si>
    <t>2105.6.01.01.001 (609)</t>
  </si>
  <si>
    <t>2105.6.01.01.001.001 (877)</t>
  </si>
  <si>
    <t>2105.6.01.01.001.004 (278)</t>
  </si>
  <si>
    <t>2105.6.01.01.002 (610)</t>
  </si>
  <si>
    <t>2105.6.01.01.002.001 (879)</t>
  </si>
  <si>
    <t>2105.6.99 (11700)</t>
  </si>
  <si>
    <t>2105.6.99.01 (793)</t>
  </si>
  <si>
    <t>2105.6.99.01.001 (896)</t>
  </si>
  <si>
    <t>2105.6.99.01.001.001 (897)</t>
  </si>
  <si>
    <t>2105.6.99.01.001.002 (898)</t>
  </si>
  <si>
    <t>2105.6.99.01.002 (775)</t>
  </si>
  <si>
    <t>2105.6.99.01.002.001 (880)</t>
  </si>
  <si>
    <t>2105.6.99.01.002.002 (882)</t>
  </si>
  <si>
    <t>2105.6.99.01.002.003 (3101)</t>
  </si>
  <si>
    <t>2107 (11711)</t>
  </si>
  <si>
    <t>2107.1 (11712)</t>
  </si>
  <si>
    <t>2107.1.00.00.000.001 (2145)</t>
  </si>
  <si>
    <t>2108 (11714)</t>
  </si>
  <si>
    <t>2108.1 (11715)</t>
  </si>
  <si>
    <t>2108.1.01 (11716)</t>
  </si>
  <si>
    <t>2108.1.01.01 (15398)</t>
  </si>
  <si>
    <t>2108.1.01.01.002 (15252)</t>
  </si>
  <si>
    <t>2108.1.01.01.002.001 (10661)</t>
  </si>
  <si>
    <t>2108.1.01.01.003 (15154)</t>
  </si>
  <si>
    <t>2108.1.01.01.003.001 (487)</t>
  </si>
  <si>
    <t>2108.1.02 (11717)</t>
  </si>
  <si>
    <t>2108.1.02.01 (15419)</t>
  </si>
  <si>
    <t>2108.1.02.01.002 (15295)</t>
  </si>
  <si>
    <t>2108.1.02.01.002.001 (10662)</t>
  </si>
  <si>
    <t>2108.1.02.01.003 (15412)</t>
  </si>
  <si>
    <t>2108.1.02.01.003.001 (489)</t>
  </si>
  <si>
    <t>2108.1.03 (11718)</t>
  </si>
  <si>
    <t>2108.1.03.01 (15306)</t>
  </si>
  <si>
    <t>2108.1.03.01.003 (15158)</t>
  </si>
  <si>
    <t>2108.1.03.01.003.001 (491)</t>
  </si>
  <si>
    <t>2108.6 (11723)</t>
  </si>
  <si>
    <t>2108.6.01.01 (615)</t>
  </si>
  <si>
    <t>2108.6.01.01.001 (614)</t>
  </si>
  <si>
    <t>2108.6.01.01.001.001 (899)</t>
  </si>
  <si>
    <t>2108.6.01.01.002 (616)</t>
  </si>
  <si>
    <t>2108.6.01.01.002.001 (884)</t>
  </si>
  <si>
    <t>2108.6.01.01.003 (2103)</t>
  </si>
  <si>
    <t>2108.6.01.01.003.001 (2104)</t>
  </si>
  <si>
    <t>2108.7 (11724)</t>
  </si>
  <si>
    <t>2108.7.01 (15185)</t>
  </si>
  <si>
    <t>2108.7.01.01 (15248)</t>
  </si>
  <si>
    <t>2108.7.01.01.002 (15311)</t>
  </si>
  <si>
    <t>2108.7.01.01.002.001 (10660)</t>
  </si>
  <si>
    <t>2112 (11755)</t>
  </si>
  <si>
    <t>2112.1 (11756)</t>
  </si>
  <si>
    <t>2112.1.00.00.002 (1669)</t>
  </si>
  <si>
    <t>2112.1.00.00.002.003 (10592)</t>
  </si>
  <si>
    <t>2119 (11776)</t>
  </si>
  <si>
    <t>2119.4 (11780)</t>
  </si>
  <si>
    <t>2119.4.01 (15439)</t>
  </si>
  <si>
    <t>2119.4.01.01 (15432)</t>
  </si>
  <si>
    <t>2119.4.01.01.001 (15215)</t>
  </si>
  <si>
    <t>2119.4.01.01.001.006 (2569)</t>
  </si>
  <si>
    <t>2119.4.01.01.001.007 (2778)</t>
  </si>
  <si>
    <t>2119.4.01.01.001.008 (2818)</t>
  </si>
  <si>
    <t>2119.4.01.01.001.010 (2977)</t>
  </si>
  <si>
    <t>2119.4.01.01.001.011 (3017)</t>
  </si>
  <si>
    <t>2119.9 (11788)</t>
  </si>
  <si>
    <t>2119.9.09 (15375)</t>
  </si>
  <si>
    <t>2119.9.09.01 (15352)</t>
  </si>
  <si>
    <t>2119.9.09.01.001 (15416)</t>
  </si>
  <si>
    <t>2119.9.09.01.001.020 (229)</t>
  </si>
  <si>
    <t>2119.9.09.01.001.025 (332)</t>
  </si>
  <si>
    <t>2119.9.09.01.001.093 (2195)</t>
  </si>
  <si>
    <t>2200 (11789)</t>
  </si>
  <si>
    <t>2201 (11790)</t>
  </si>
  <si>
    <t>2201.3 (11793)</t>
  </si>
  <si>
    <t>2201.3.01.01.002 (778)</t>
  </si>
  <si>
    <t>2201.3.01.01.002.001 (885)</t>
  </si>
  <si>
    <t>2206 (11866)</t>
  </si>
  <si>
    <t>2206.1 (11867)</t>
  </si>
  <si>
    <t>2206.1.00.00.002 (2800)</t>
  </si>
  <si>
    <t>2206.1.00.00.002.001 (2801)</t>
  </si>
  <si>
    <t>2208 (11873)</t>
  </si>
  <si>
    <t>2208.1 (11874)</t>
  </si>
  <si>
    <t>2208.1.03 (11877)</t>
  </si>
  <si>
    <t>2208.1.03.01 (15379)</t>
  </si>
  <si>
    <t>2208.1.03.01.002 (15288)</t>
  </si>
  <si>
    <t>2208.1.03.01.002.001 (364)</t>
  </si>
  <si>
    <t>2212 (11927)</t>
  </si>
  <si>
    <t>2212.1 (11928)</t>
  </si>
  <si>
    <t>2212.1.01 (791)</t>
  </si>
  <si>
    <t>2212.1.01.01 (792)</t>
  </si>
  <si>
    <t>2212.1.01.01.002 (790)</t>
  </si>
  <si>
    <t>2212.1.01.01.002.001 (10707)</t>
  </si>
  <si>
    <t>2400 (12166)</t>
  </si>
  <si>
    <t>2401 (12167)</t>
  </si>
  <si>
    <t>2401.1 (12168)</t>
  </si>
  <si>
    <t>2401.1.01 (15196)</t>
  </si>
  <si>
    <t>2401.1.01.01 (15290)</t>
  </si>
  <si>
    <t>2401.1.01.01.001 (15149)</t>
  </si>
  <si>
    <t>2401.1.01.01.001.001 (2331)</t>
  </si>
  <si>
    <t>2401.1.01.01.002 (794)</t>
  </si>
  <si>
    <t>2401.1.01.01.002.002 (2333)</t>
  </si>
  <si>
    <t>2404 (12205)</t>
  </si>
  <si>
    <t>2404.1 (12206)</t>
  </si>
  <si>
    <t>2404.1.01 (15377)</t>
  </si>
  <si>
    <t>2404.1.01.01 (15157)</t>
  </si>
  <si>
    <t>2404.1.01.01.001 (15167)</t>
  </si>
  <si>
    <t>2404.1.01.01.001.001 (2388)</t>
  </si>
  <si>
    <t>2404.4 (12215)</t>
  </si>
  <si>
    <t>2404.4.01 (2405)</t>
  </si>
  <si>
    <t>2404.4.01.01 (2404)</t>
  </si>
  <si>
    <t>2404.4.01.01.001 (2403)</t>
  </si>
  <si>
    <t>2404.4.01.01.001.002 (2558)</t>
  </si>
  <si>
    <t>2404.9 (12219)</t>
  </si>
  <si>
    <t>2404.9.01 (15269)</t>
  </si>
  <si>
    <t>2404.9.01.01 (15433)</t>
  </si>
  <si>
    <t>2404.9.01.01.001 (15219)</t>
  </si>
  <si>
    <t>2404.9.01.01.001.005 (2343)</t>
  </si>
  <si>
    <t>2404.9.01.01.001.006 (2346)</t>
  </si>
  <si>
    <t>2404.9.01.01.001.007 (308)</t>
  </si>
  <si>
    <t>2404.9.01.01.001.009 (372)</t>
  </si>
  <si>
    <t>2404.9.01.01.001.010 (767)</t>
  </si>
  <si>
    <t>2404.9.01.01.001.011 (1675)</t>
  </si>
  <si>
    <t>2404.9.01.01.001.012 (2293)</t>
  </si>
  <si>
    <t>2404.9.01.01.001.013 (2356)</t>
  </si>
  <si>
    <t>2404.9.01.01.001.014 (2357)</t>
  </si>
  <si>
    <t>2404.9.01.01.001.016 (2510)</t>
  </si>
  <si>
    <t>2404.9.01.01.001.017 (2512)</t>
  </si>
  <si>
    <t>2404.9.01.01.001.018 (2552)</t>
  </si>
  <si>
    <t>2404.9.01.01.001.019 (2804)</t>
  </si>
  <si>
    <t>2404.9.01.01.001.022 (2985)</t>
  </si>
  <si>
    <t>2404.9.01.01.001.023 (3115)</t>
  </si>
  <si>
    <t>2404.9.01.01.002 (15168)</t>
  </si>
  <si>
    <t>2404.9.01.01.002.001 (10594)</t>
  </si>
  <si>
    <t>2404.9.01.01.002.002 (10696)</t>
  </si>
  <si>
    <t>2405 (12220)</t>
  </si>
  <si>
    <t>2405.1 (12221)</t>
  </si>
  <si>
    <t>2405.1.02 (15445)</t>
  </si>
  <si>
    <t>2405.1.02.01 (15181)</t>
  </si>
  <si>
    <t>2405.1.02.01.002 (15476)</t>
  </si>
  <si>
    <t>2405.1.02.01.002.002 (10710)</t>
  </si>
  <si>
    <t>2406 (12222)</t>
  </si>
  <si>
    <t>2406.1 (12223)</t>
  </si>
  <si>
    <t>2406.1.01 (15224)</t>
  </si>
  <si>
    <t>2406.1.01.01 (15369)</t>
  </si>
  <si>
    <t>2406.1.01.01.001 (15367)</t>
  </si>
  <si>
    <t>2406.1.01.01.001.001 (2506)</t>
  </si>
  <si>
    <t>2406.1.01.01.001.021 (2815)</t>
  </si>
  <si>
    <t>2406.1.01.01.001.023 (2984)</t>
  </si>
  <si>
    <t>2406.3 (12225)</t>
  </si>
  <si>
    <t>2406.3.01 (2473)</t>
  </si>
  <si>
    <t>2406.3.01.01 (2476)</t>
  </si>
  <si>
    <t>2406.3.01.01.001 (2478)</t>
  </si>
  <si>
    <t>2406.3.01.01.001.001 (2477)</t>
  </si>
  <si>
    <t>4000 (12242)</t>
  </si>
  <si>
    <t>4100 (12243)</t>
  </si>
  <si>
    <t>4102 (12322)</t>
  </si>
  <si>
    <t>4102.1 (12323)</t>
  </si>
  <si>
    <t>4102.1.01 (12324)</t>
  </si>
  <si>
    <t>4102.1.01.02 (12326)</t>
  </si>
  <si>
    <t>4102.1.01.02.003 (930)</t>
  </si>
  <si>
    <t>4102.1.01.02.003.001 (931)</t>
  </si>
  <si>
    <t>4102.1.01.03 (12327)</t>
  </si>
  <si>
    <t>4102.1.01.03.003 (934)</t>
  </si>
  <si>
    <t>4102.1.01.03.003.001 (935)</t>
  </si>
  <si>
    <t>4102.1.01.04 (12328)</t>
  </si>
  <si>
    <t>4102.1.01.04.001 (936)</t>
  </si>
  <si>
    <t>4102.1.01.04.001.001 (937)</t>
  </si>
  <si>
    <t>4102.1.01.04.003 (938)</t>
  </si>
  <si>
    <t>4102.1.01.04.003.001 (939)</t>
  </si>
  <si>
    <t>4102.1.01.05 (12329)</t>
  </si>
  <si>
    <t>4102.1.01.05.001 (940)</t>
  </si>
  <si>
    <t>4102.1.01.05.001.001 (941)</t>
  </si>
  <si>
    <t>4102.1.01.06 (12330)</t>
  </si>
  <si>
    <t>4102.1.01.06.001 (944)</t>
  </si>
  <si>
    <t>4102.1.01.06.001.001 (945)</t>
  </si>
  <si>
    <t>4102.1.01.06.003 (946)</t>
  </si>
  <si>
    <t>4102.1.01.06.003.001 (947)</t>
  </si>
  <si>
    <t>4102.1.02 (12331)</t>
  </si>
  <si>
    <t>4102.1.02.02 (12333)</t>
  </si>
  <si>
    <t>4102.1.02.02.003 (958)</t>
  </si>
  <si>
    <t>4102.1.02.02.003.001 (959)</t>
  </si>
  <si>
    <t>4102.1.02.03 (12334)</t>
  </si>
  <si>
    <t>4102.1.02.03.003 (962)</t>
  </si>
  <si>
    <t>4102.1.02.03.003.001 (963)</t>
  </si>
  <si>
    <t>4102.1.02.04 (12335)</t>
  </si>
  <si>
    <t>4102.1.02.04.001 (964)</t>
  </si>
  <si>
    <t>4102.1.02.04.001.001 (965)</t>
  </si>
  <si>
    <t>4102.1.02.04.003 (966)</t>
  </si>
  <si>
    <t>4102.1.02.04.003.001 (967)</t>
  </si>
  <si>
    <t>4102.1.02.05 (12336)</t>
  </si>
  <si>
    <t>4102.1.02.05.001 (968)</t>
  </si>
  <si>
    <t>4102.1.02.05.001.001 (969)</t>
  </si>
  <si>
    <t>4102.1.02.06 (12337)</t>
  </si>
  <si>
    <t>4102.1.02.06.001 (972)</t>
  </si>
  <si>
    <t>4102.1.02.06.001.001 (973)</t>
  </si>
  <si>
    <t>4102.1.02.06.003 (974)</t>
  </si>
  <si>
    <t>4102.1.02.06.003.001 (975)</t>
  </si>
  <si>
    <t>4102.4 (12400)</t>
  </si>
  <si>
    <t>4102.4.01 (12401)</t>
  </si>
  <si>
    <t>4102.4.01.04 (12404)</t>
  </si>
  <si>
    <t>4102.4.01.04.001 (980)</t>
  </si>
  <si>
    <t>4102.4.01.04.001.001 (981)</t>
  </si>
  <si>
    <t>4102.4.01.05 (12405)</t>
  </si>
  <si>
    <t>4102.4.01.05.001 (982)</t>
  </si>
  <si>
    <t>4102.4.01.05.001.001 (983)</t>
  </si>
  <si>
    <t>4102.4.01.06 (12406)</t>
  </si>
  <si>
    <t>4102.4.01.06.001 (984)</t>
  </si>
  <si>
    <t>4102.4.01.06.001.001 (985)</t>
  </si>
  <si>
    <t>4102.4.02 (12407)</t>
  </si>
  <si>
    <t>4102.4.02.04 (12410)</t>
  </si>
  <si>
    <t>4102.4.02.04.001 (1115)</t>
  </si>
  <si>
    <t>4102.4.02.04.001.001 (1116)</t>
  </si>
  <si>
    <t>4102.4.02.05 (12411)</t>
  </si>
  <si>
    <t>4102.4.02.05.001 (1117)</t>
  </si>
  <si>
    <t>4102.4.02.05.001.001 (1118)</t>
  </si>
  <si>
    <t>4102.4.02.06 (12412)</t>
  </si>
  <si>
    <t>4102.4.02.06.001 (1119)</t>
  </si>
  <si>
    <t>4102.4.02.06.001.001 (1120)</t>
  </si>
  <si>
    <t>4105 (12580)</t>
  </si>
  <si>
    <t>4105.1 (12581)</t>
  </si>
  <si>
    <t>4105.1.01 (12582)</t>
  </si>
  <si>
    <t>4105.1.01.03 (12585)</t>
  </si>
  <si>
    <t>4105.1.01.03.003 (1064)</t>
  </si>
  <si>
    <t>4105.1.01.03.003.001 (1093)</t>
  </si>
  <si>
    <t>4105.1.02 (12587)</t>
  </si>
  <si>
    <t>4105.1.02.03 (12590)</t>
  </si>
  <si>
    <t>4105.1.02.03.003 (1164)</t>
  </si>
  <si>
    <t>4105.1.02.03.003.001 (1165)</t>
  </si>
  <si>
    <t>4105.4 (12634)</t>
  </si>
  <si>
    <t>4105.4.01 (12635)</t>
  </si>
  <si>
    <t>4105.4.01.03 (12637)</t>
  </si>
  <si>
    <t>4105.4.01.03.001 (1099)</t>
  </si>
  <si>
    <t>4105.4.01.03.001.001 (1100)</t>
  </si>
  <si>
    <t>4105.4.02 (12639)</t>
  </si>
  <si>
    <t>4105.4.02.03 (12641)</t>
  </si>
  <si>
    <t>4105.4.02.03.001 (1105)</t>
  </si>
  <si>
    <t>4105.4.02.03.001.001 (1106)</t>
  </si>
  <si>
    <t>5000 (12867)</t>
  </si>
  <si>
    <t>5100 (12868)</t>
  </si>
  <si>
    <t>5102 (12947)</t>
  </si>
  <si>
    <t>5102.1 (12948)</t>
  </si>
  <si>
    <t>5102.1.01 (12949)</t>
  </si>
  <si>
    <t>5102.1.01.02 (12951)</t>
  </si>
  <si>
    <t>5102.1.01.02.003 (988)</t>
  </si>
  <si>
    <t>5102.1.01.02.003.001 (993)</t>
  </si>
  <si>
    <t>5102.1.01.03 (12952)</t>
  </si>
  <si>
    <t>5102.1.01.03.003 (996)</t>
  </si>
  <si>
    <t>5102.1.01.03.003.001 (997)</t>
  </si>
  <si>
    <t>5102.1.01.04 (12953)</t>
  </si>
  <si>
    <t>5102.1.01.04.001 (998)</t>
  </si>
  <si>
    <t>5102.1.01.04.001.001 (999)</t>
  </si>
  <si>
    <t>5102.1.01.04.003 (1030)</t>
  </si>
  <si>
    <t>5102.1.01.04.003.001 (1031)</t>
  </si>
  <si>
    <t>5102.1.01.05 (12954)</t>
  </si>
  <si>
    <t>5102.1.01.05.001 (1032)</t>
  </si>
  <si>
    <t>5102.1.01.05.001.001 (1033)</t>
  </si>
  <si>
    <t>5102.1.01.06 (12955)</t>
  </si>
  <si>
    <t>5102.1.01.06.001 (1042)</t>
  </si>
  <si>
    <t>5102.1.01.06.001.001 (1048)</t>
  </si>
  <si>
    <t>5102.1.01.06.003 (1050)</t>
  </si>
  <si>
    <t>5102.1.01.06.003.001 (1051)</t>
  </si>
  <si>
    <t>5102.1.02 (12956)</t>
  </si>
  <si>
    <t>5102.1.02.02 (12958)</t>
  </si>
  <si>
    <t>5102.1.02.02.003 (1137)</t>
  </si>
  <si>
    <t>5102.1.02.02.003.001 (1138)</t>
  </si>
  <si>
    <t>5102.1.02.03 (12959)</t>
  </si>
  <si>
    <t>5102.1.02.03.003 (1142)</t>
  </si>
  <si>
    <t>5102.1.02.03.003.001 (1143)</t>
  </si>
  <si>
    <t>5102.1.02.04 (12960)</t>
  </si>
  <si>
    <t>5102.1.02.04.001 (1148)</t>
  </si>
  <si>
    <t>5102.1.02.04.001.001 (1149)</t>
  </si>
  <si>
    <t>5102.1.02.04.003 (1150)</t>
  </si>
  <si>
    <t>5102.1.02.04.003.001 (1151)</t>
  </si>
  <si>
    <t>5102.1.02.05 (12961)</t>
  </si>
  <si>
    <t>5102.1.02.05.001 (1152)</t>
  </si>
  <si>
    <t>5102.1.02.05.001.001 (1153)</t>
  </si>
  <si>
    <t>5102.1.02.06 (12962)</t>
  </si>
  <si>
    <t>5102.1.02.06.001 (1158)</t>
  </si>
  <si>
    <t>5102.1.02.06.001.001 (1159)</t>
  </si>
  <si>
    <t>5102.1.02.06.003 (1160)</t>
  </si>
  <si>
    <t>5102.1.02.06.003.001 (1161)</t>
  </si>
  <si>
    <t>5102.4 (13025)</t>
  </si>
  <si>
    <t>5102.4.01 (13026)</t>
  </si>
  <si>
    <t>5102.4.01.04 (13029)</t>
  </si>
  <si>
    <t>5102.4.01.04.001 (1056)</t>
  </si>
  <si>
    <t>5102.4.01.04.001.001 (1057)</t>
  </si>
  <si>
    <t>5102.4.01.05 (13030)</t>
  </si>
  <si>
    <t>5102.4.01.05.001 (1058)</t>
  </si>
  <si>
    <t>5102.4.01.05.001.001 (1059)</t>
  </si>
  <si>
    <t>5102.4.01.06 (13031)</t>
  </si>
  <si>
    <t>5102.4.01.06.001 (1060)</t>
  </si>
  <si>
    <t>5102.4.01.06.001.001 (1061)</t>
  </si>
  <si>
    <t>5102.4.02 (13032)</t>
  </si>
  <si>
    <t>5102.4.02.04 (13035)</t>
  </si>
  <si>
    <t>5102.4.02.04.001 (1125)</t>
  </si>
  <si>
    <t>5102.4.02.04.001.001 (1126)</t>
  </si>
  <si>
    <t>5102.4.02.05 (13036)</t>
  </si>
  <si>
    <t>5102.4.02.05.001 (1127)</t>
  </si>
  <si>
    <t>5102.4.02.05.001.001 (1128)</t>
  </si>
  <si>
    <t>5102.4.02.06 (13037)</t>
  </si>
  <si>
    <t>5102.4.02.06.001 (1129)</t>
  </si>
  <si>
    <t>5102.4.02.06.001.001 (1130)</t>
  </si>
  <si>
    <t>5105 (13205)</t>
  </si>
  <si>
    <t>5105.1 (13206)</t>
  </si>
  <si>
    <t>5105.1.01 (13207)</t>
  </si>
  <si>
    <t>5105.1.01.03 (13210)</t>
  </si>
  <si>
    <t>5105.1.01.03.003 (1097)</t>
  </si>
  <si>
    <t>5105.1.01.03.003.001 (1098)</t>
  </si>
  <si>
    <t>5105.1.02 (13212)</t>
  </si>
  <si>
    <t>5105.1.02.03 (13215)</t>
  </si>
  <si>
    <t>5105.1.02.03.003 (1167)</t>
  </si>
  <si>
    <t>5105.1.02.03.003.001 (1168)</t>
  </si>
  <si>
    <t>5105.4 (13259)</t>
  </si>
  <si>
    <t>5105.4.01 (13260)</t>
  </si>
  <si>
    <t>5105.4.01.03 (13262)</t>
  </si>
  <si>
    <t>5105.4.01.03.001 (1101)</t>
  </si>
  <si>
    <t>5105.4.01.03.001.001 (1102)</t>
  </si>
  <si>
    <t>5105.4.02 (13264)</t>
  </si>
  <si>
    <t>5105.4.02.03 (13266)</t>
  </si>
  <si>
    <t>5105.4.02.03.001 (1103)</t>
  </si>
  <si>
    <t>5105.4.02.03.001.001 (1104)</t>
  </si>
  <si>
    <t>6000 (13492)</t>
  </si>
  <si>
    <t>6100 (13493)</t>
  </si>
  <si>
    <t>6101 (13494)</t>
  </si>
  <si>
    <t>6101.1 (13495)</t>
  </si>
  <si>
    <t>6101.1.01 (13496)</t>
  </si>
  <si>
    <t>6101.1.01.02 (13498)</t>
  </si>
  <si>
    <t>6101.1.01.02.000.001 (2560)</t>
  </si>
  <si>
    <t>6101.1.01.02.001 (15437)</t>
  </si>
  <si>
    <t>6101.1.01.02.001.003 (6030)</t>
  </si>
  <si>
    <t>6101.1.01.02.003 (15286)</t>
  </si>
  <si>
    <t>6101.1.01.02.003.006 (6031)</t>
  </si>
  <si>
    <t>6101.1.30 (13507)</t>
  </si>
  <si>
    <t>6101.1.30.01 (13508)</t>
  </si>
  <si>
    <t>6101.1.30.01.001 (621)</t>
  </si>
  <si>
    <t>6101.1.30.01.001.001 (6024)</t>
  </si>
  <si>
    <t>6101.1.30.01.003 (623)</t>
  </si>
  <si>
    <t>6101.1.30.01.003.001 (6027)</t>
  </si>
  <si>
    <t>6101.1.30.01.004 (624)</t>
  </si>
  <si>
    <t>6101.1.30.01.004.001 (439)</t>
  </si>
  <si>
    <t>6101.1.30.02 (13509)</t>
  </si>
  <si>
    <t>6101.1.30.02.001 (620)</t>
  </si>
  <si>
    <t>6101.1.30.02.001.001 (6025)</t>
  </si>
  <si>
    <t>6101.1.30.02.003 (626)</t>
  </si>
  <si>
    <t>6101.1.30.02.003.001 (6028)</t>
  </si>
  <si>
    <t>6101.1.30.02.004 (627)</t>
  </si>
  <si>
    <t>6101.1.30.02.004.001 (440)</t>
  </si>
  <si>
    <t>6101.1.30.04 (13511)</t>
  </si>
  <si>
    <t>6101.1.30.04.000.001 (2952)</t>
  </si>
  <si>
    <t>6101.1.31 (13515)</t>
  </si>
  <si>
    <t>6101.1.31.01 (13516)</t>
  </si>
  <si>
    <t>6101.1.31.01.002 (727)</t>
  </si>
  <si>
    <t>6101.1.31.01.002.002 (10665)</t>
  </si>
  <si>
    <t>6101.1.31.01.004 (726)</t>
  </si>
  <si>
    <t>6101.1.31.01.004.001 (483)</t>
  </si>
  <si>
    <t>6101.1.31.05 (13519)</t>
  </si>
  <si>
    <t>6101.1.31.05.110 (634)</t>
  </si>
  <si>
    <t>6101.1.31.05.110.001 (10160)</t>
  </si>
  <si>
    <t>6101.1.31.05.120 (635)</t>
  </si>
  <si>
    <t>6101.1.31.05.120.002 (10711)</t>
  </si>
  <si>
    <t>6101.1.31.05.130 (2078)</t>
  </si>
  <si>
    <t>6101.1.31.05.130.001 (2093)</t>
  </si>
  <si>
    <t>6101.1.31.09 (13520)</t>
  </si>
  <si>
    <t>6101.1.31.09.002 (780)</t>
  </si>
  <si>
    <t>6101.1.31.09.002.001 (10705)</t>
  </si>
  <si>
    <t>6101.5 (13602)</t>
  </si>
  <si>
    <t>6101.5.01 (13603)</t>
  </si>
  <si>
    <t>6101.5.01.02 (13605)</t>
  </si>
  <si>
    <t>6101.5.01.02.001 (15208)</t>
  </si>
  <si>
    <t>6101.5.01.02.001.002 (6061)</t>
  </si>
  <si>
    <t>6101.5.01.03 (13606)</t>
  </si>
  <si>
    <t>6101.5.01.03.001 (640)</t>
  </si>
  <si>
    <t>6101.5.01.03.001.001 (6202)</t>
  </si>
  <si>
    <t>6101.5.01.03.001.005 (2832)</t>
  </si>
  <si>
    <t>6101.5.01.03.001.006 (3105)</t>
  </si>
  <si>
    <t>6101.5.01.03.510 (1998)</t>
  </si>
  <si>
    <t>6101.5.01.03.510.001 (1999)</t>
  </si>
  <si>
    <t>6101.5.30 (13613)</t>
  </si>
  <si>
    <t>6101.5.30.01 (13614)</t>
  </si>
  <si>
    <t>6101.5.30.01.001 (636)</t>
  </si>
  <si>
    <t>6101.5.30.01.001.001 (6209)</t>
  </si>
  <si>
    <t>6101.5.30.01.510 (2026)</t>
  </si>
  <si>
    <t>6101.5.30.01.510.001 (2027)</t>
  </si>
  <si>
    <t>6101.5.30.02 (13615)</t>
  </si>
  <si>
    <t>6101.5.30.02.001 (637)</t>
  </si>
  <si>
    <t>6101.5.30.02.001.002 (6210)</t>
  </si>
  <si>
    <t>6101.5.30.02.510 (2028)</t>
  </si>
  <si>
    <t>6101.5.30.02.510.001 (2029)</t>
  </si>
  <si>
    <t>6101.5.30.04 (13617)</t>
  </si>
  <si>
    <t>6101.5.30.04.510 (2024)</t>
  </si>
  <si>
    <t>6101.5.30.04.510.001 (2025)</t>
  </si>
  <si>
    <t>6105 (13627)</t>
  </si>
  <si>
    <t>6105.1 (13628)</t>
  </si>
  <si>
    <t>6105.1.02 (13632)</t>
  </si>
  <si>
    <t>6105.1.02.01 (13633)</t>
  </si>
  <si>
    <t>6105.1.02.01.110 (723)</t>
  </si>
  <si>
    <t>6105.1.02.01.110.002 (10364)</t>
  </si>
  <si>
    <t>6105.1.02.01.120 (724)</t>
  </si>
  <si>
    <t>6105.1.02.01.120.002 (10706)</t>
  </si>
  <si>
    <t>6105.1.02.01.130 (922)</t>
  </si>
  <si>
    <t>6105.1.02.01.130.002 (2798)</t>
  </si>
  <si>
    <t>6105.1.02.10 (13634)</t>
  </si>
  <si>
    <t>6105.1.02.10.110 (3025)</t>
  </si>
  <si>
    <t>6105.1.02.10.110.200 (3021)</t>
  </si>
  <si>
    <t>6105.1.02.10.120 (3026)</t>
  </si>
  <si>
    <t>6105.1.02.10.120.200 (3023)</t>
  </si>
  <si>
    <t>6105.1.02.10.130 (3027)</t>
  </si>
  <si>
    <t>6105.1.02.10.130.200 (3022)</t>
  </si>
  <si>
    <t>6105.1.05 (13646)</t>
  </si>
  <si>
    <t>6105.1.05.01 (13647)</t>
  </si>
  <si>
    <t>6105.1.05.01.110 (641)</t>
  </si>
  <si>
    <t>6105.1.05.01.120 (642)</t>
  </si>
  <si>
    <t>6105.1.05.01.130 (2111)</t>
  </si>
  <si>
    <t>6105.1.05.02 (13648)</t>
  </si>
  <si>
    <t>6105.1.05.02.110 (645)</t>
  </si>
  <si>
    <t>6105.1.05.02.120 (646)</t>
  </si>
  <si>
    <t>6105.1.05.02.130 (2136)</t>
  </si>
  <si>
    <t>6105.1.05.03 (13649)</t>
  </si>
  <si>
    <t>6105.1.05.03.110 (2169)</t>
  </si>
  <si>
    <t>6105.1.05.03.120 (797)</t>
  </si>
  <si>
    <t>6105.1.05.03.130 (2168)</t>
  </si>
  <si>
    <t>6105.1.05.07 (13653)</t>
  </si>
  <si>
    <t>6105.1.05.07.110 (2368)</t>
  </si>
  <si>
    <t>6105.1.05.07.120 (807)</t>
  </si>
  <si>
    <t>6105.1.05.07.130 (2380)</t>
  </si>
  <si>
    <t>6105.1.05.08 (13654)</t>
  </si>
  <si>
    <t>6105.1.05.08.110 (648)</t>
  </si>
  <si>
    <t>6105.1.05.08.120 (649)</t>
  </si>
  <si>
    <t>6105.1.05.08.130 (2109)</t>
  </si>
  <si>
    <t>6105.1.05.99 (13657)</t>
  </si>
  <si>
    <t>6105.1.05.99.130 (2970)</t>
  </si>
  <si>
    <t>6105.1.07 (13662)</t>
  </si>
  <si>
    <t>6105.1.07.01 (13663)</t>
  </si>
  <si>
    <t>6105.1.07.01.110 (655)</t>
  </si>
  <si>
    <t>6105.1.07.01.110.001 (10221)</t>
  </si>
  <si>
    <t>6105.1.07.01.110.002 (10358)</t>
  </si>
  <si>
    <t>6105.1.07.01.110.003 (10494)</t>
  </si>
  <si>
    <t>6105.1.07.01.110.004 (10495)</t>
  </si>
  <si>
    <t>6105.1.07.01.110.014 (2496)</t>
  </si>
  <si>
    <t>6105.1.07.01.110.020 (2782)</t>
  </si>
  <si>
    <t>6105.1.07.01.110.026 (2766)</t>
  </si>
  <si>
    <t>6105.1.07.01.110.029 (3073)</t>
  </si>
  <si>
    <t>6105.1.07.01.120 (656)</t>
  </si>
  <si>
    <t>6105.1.07.01.120.014 (10685)</t>
  </si>
  <si>
    <t>6105.1.07.01.130 (735)</t>
  </si>
  <si>
    <t>6105.1.07.01.130.001 (736)</t>
  </si>
  <si>
    <t>6105.1.07.01.130.006 (806)</t>
  </si>
  <si>
    <t>6105.1.07.01.130.010 (2927)</t>
  </si>
  <si>
    <t>6105.1.07.01.130.013 (738)</t>
  </si>
  <si>
    <t>6105.1.07.01.130.016 (743)</t>
  </si>
  <si>
    <t>6105.1.07.01.130.020 (2783)</t>
  </si>
  <si>
    <t>6105.1.07.01.130.026 (2586)</t>
  </si>
  <si>
    <t>6105.1.07.01.130.029 (3072)</t>
  </si>
  <si>
    <t>6105.1.08 (13666)</t>
  </si>
  <si>
    <t>6105.1.08.01 (13667)</t>
  </si>
  <si>
    <t>6105.1.08.01.110 (659)</t>
  </si>
  <si>
    <t>6105.1.08.01.110.004 (10223)</t>
  </si>
  <si>
    <t>6105.1.08.01.110.009 (10427)</t>
  </si>
  <si>
    <t>6105.1.08.01.110.031 (206)</t>
  </si>
  <si>
    <t>6105.1.08.01.110.061 (2912)</t>
  </si>
  <si>
    <t>6105.1.08.01.110.101 (3074)</t>
  </si>
  <si>
    <t>6105.1.08.01.120 (660)</t>
  </si>
  <si>
    <t>6105.1.08.01.120.023 (10534)</t>
  </si>
  <si>
    <t>6105.1.08.01.130 (661)</t>
  </si>
  <si>
    <t>6105.1.08.01.130.002 (687)</t>
  </si>
  <si>
    <t>6105.1.08.01.130.004 (759)</t>
  </si>
  <si>
    <t>6105.1.08.01.130.009 (681)</t>
  </si>
  <si>
    <t>6105.1.08.01.130.012 (760)</t>
  </si>
  <si>
    <t>6105.1.08.01.130.028 (2926)</t>
  </si>
  <si>
    <t>6105.1.08.01.130.031 (763)</t>
  </si>
  <si>
    <t>6105.1.08.01.130.061 (2911)</t>
  </si>
  <si>
    <t>6105.1.08.01.130.085 (2791)</t>
  </si>
  <si>
    <t>6105.1.08.01.130.086 (2787)</t>
  </si>
  <si>
    <t>6105.1.08.01.130.101 (3075)</t>
  </si>
  <si>
    <t>6105.1.09 (13669)</t>
  </si>
  <si>
    <t>6105.1.09.02 (13671)</t>
  </si>
  <si>
    <t>6105.1.09.02.120 (683)</t>
  </si>
  <si>
    <t>6105.1.09.02.120.002 (10536)</t>
  </si>
  <si>
    <t>6105.1.10 (13673)</t>
  </si>
  <si>
    <t>6105.1.10.01 (13674)</t>
  </si>
  <si>
    <t>6105.1.10.01.110 (664)</t>
  </si>
  <si>
    <t>6105.1.10.01.110.002 (10367)</t>
  </si>
  <si>
    <t>6105.1.10.01.120 (665)</t>
  </si>
  <si>
    <t>6105.1.10.01.120.005 (10630)</t>
  </si>
  <si>
    <t>6105.1.10.01.130 (2865)</t>
  </si>
  <si>
    <t>6105.1.10.01.130.002 (3059)</t>
  </si>
  <si>
    <t>6105.1.11 (13677)</t>
  </si>
  <si>
    <t>6105.1.11.01 (13678)</t>
  </si>
  <si>
    <t>6105.1.11.01.120 (730)</t>
  </si>
  <si>
    <t>6105.1.11.01.120.001 (10113)</t>
  </si>
  <si>
    <t>6105.1.12 (13679)</t>
  </si>
  <si>
    <t>6105.1.12.02 (13681)</t>
  </si>
  <si>
    <t>6105.1.12.02.120 (2802)</t>
  </si>
  <si>
    <t>6105.1.12.02.120.020 (2803)</t>
  </si>
  <si>
    <t>6105.1.15 (13690)</t>
  </si>
  <si>
    <t>6105.1.15.01 (13691)</t>
  </si>
  <si>
    <t>6105.1.15.01.120 (668)</t>
  </si>
  <si>
    <t>6105.1.15.01.120.001 (10054)</t>
  </si>
  <si>
    <t>6105.1.16 (13692)</t>
  </si>
  <si>
    <t>6105.1.16.01 (13693)</t>
  </si>
  <si>
    <t>6105.1.16.01.110 (671)</t>
  </si>
  <si>
    <t>6105.1.16.01.110.002 (10506)</t>
  </si>
  <si>
    <t>6105.1.16.01.120 (672)</t>
  </si>
  <si>
    <t>6105.1.16.01.120.012 (10686)</t>
  </si>
  <si>
    <t>6105.1.16.01.130 (2158)</t>
  </si>
  <si>
    <t>6105.1.16.01.130.002 (2159)</t>
  </si>
  <si>
    <t>6105.1.17 (13694)</t>
  </si>
  <si>
    <t>6105.1.17.01 (13695)</t>
  </si>
  <si>
    <t>6105.1.17.01.110 (676)</t>
  </si>
  <si>
    <t>6105.1.17.01.110.001 (10432)</t>
  </si>
  <si>
    <t>6105.1.17.01.120 (677)</t>
  </si>
  <si>
    <t>6105.1.17.01.120.002 (10625)</t>
  </si>
  <si>
    <t>6105.1.17.01.130 (678)</t>
  </si>
  <si>
    <t>6105.1.17.01.130.001 (516)</t>
  </si>
  <si>
    <t>6105.1.17.10 (13696)</t>
  </si>
  <si>
    <t>6105.1.17.10.110 (3034)</t>
  </si>
  <si>
    <t>6105.1.17.10.110.200 (3028)</t>
  </si>
  <si>
    <t>6105.1.17.10.120 (3033)</t>
  </si>
  <si>
    <t>6105.1.17.10.120.200 (3031)</t>
  </si>
  <si>
    <t>6105.1.17.10.130 (3032)</t>
  </si>
  <si>
    <t>6105.1.17.10.130.200 (3030)</t>
  </si>
  <si>
    <t>6105.1.18 (13697)</t>
  </si>
  <si>
    <t>6105.1.18.01 (13698)</t>
  </si>
  <si>
    <t>6105.1.18.01.120 (682)</t>
  </si>
  <si>
    <t>6105.1.18.01.120.005 (10627)</t>
  </si>
  <si>
    <t>6105.1.18.01.120.006 (2485)</t>
  </si>
  <si>
    <t>6105.1.19 (13700)</t>
  </si>
  <si>
    <t>6105.1.19.04 (13704)</t>
  </si>
  <si>
    <t>6105.1.19.04.120 (779)</t>
  </si>
  <si>
    <t>6105.1.19.04.120.070 (786)</t>
  </si>
  <si>
    <t>6105.1.19.99 (13707)</t>
  </si>
  <si>
    <t>6105.1.19.99.120 (689)</t>
  </si>
  <si>
    <t>6105.1.19.99.120.032 (10443)</t>
  </si>
  <si>
    <t>6105.1.19.99.130 (2324)</t>
  </si>
  <si>
    <t>6105.1.19.99.130.017 (2323)</t>
  </si>
  <si>
    <t>6105.1.19.99.130.031 (2887)</t>
  </si>
  <si>
    <t>6105.1.25 (13721)</t>
  </si>
  <si>
    <t>6105.1.25.01 (13722)</t>
  </si>
  <si>
    <t>6105.1.25.01.000.001 (15554)</t>
  </si>
  <si>
    <t>6105.1.25.02 (13723)</t>
  </si>
  <si>
    <t>6105.1.25.02.000.001 (15617)</t>
  </si>
  <si>
    <t>6105.1.25.03 (13724)</t>
  </si>
  <si>
    <t>6105.1.25.03.000.001 (15648)</t>
  </si>
  <si>
    <t>6105.1.25.05 (13726)</t>
  </si>
  <si>
    <t>6105.1.25.05.000.001 (15614)</t>
  </si>
  <si>
    <t>6105.1.25.07 (13728)</t>
  </si>
  <si>
    <t>6105.1.25.07.000.001 (15518)</t>
  </si>
  <si>
    <t>6105.1.25.08 (13729)</t>
  </si>
  <si>
    <t>6105.1.25.08.000.001 (15547)</t>
  </si>
  <si>
    <t>6105.1.25.99 (13732)</t>
  </si>
  <si>
    <t>6105.1.25.99.000.001 (15604)</t>
  </si>
  <si>
    <t>6105.1.26 (13733)</t>
  </si>
  <si>
    <t>6105.1.26.01 (13734)</t>
  </si>
  <si>
    <t>6105.1.26.01.000.001 (15650)</t>
  </si>
  <si>
    <t>6105.1.26.02 (13735)</t>
  </si>
  <si>
    <t>6105.1.26.02.000.001 (15636)</t>
  </si>
  <si>
    <t>6105.1.27 (13737)</t>
  </si>
  <si>
    <t>6105.1.27.01 (13738)</t>
  </si>
  <si>
    <t>6105.1.27.01.000.001 (15538)</t>
  </si>
  <si>
    <t>6105.1.27.99 (13740)</t>
  </si>
  <si>
    <t>6105.1.27.99.000.001 (729)</t>
  </si>
  <si>
    <t>6105.1.28 (13741)</t>
  </si>
  <si>
    <t>6105.1.28.01 (13742)</t>
  </si>
  <si>
    <t>6105.1.28.01.000.001 (15652)</t>
  </si>
  <si>
    <t>6105.1.30 (13748)</t>
  </si>
  <si>
    <t>6105.1.30.01 (13749)</t>
  </si>
  <si>
    <t>6105.1.30.01.000.001 (15572)</t>
  </si>
  <si>
    <t>6105.1.32 (13754)</t>
  </si>
  <si>
    <t>6105.1.32.03 (13757)</t>
  </si>
  <si>
    <t>6105.1.32.03.000.001 (15624)</t>
  </si>
  <si>
    <t>6105.1.36 (13767)</t>
  </si>
  <si>
    <t>6105.1.36.01 (13768)</t>
  </si>
  <si>
    <t>6105.1.36.01.000.001 (15530)</t>
  </si>
  <si>
    <t>6105.1.37 (13769)</t>
  </si>
  <si>
    <t>6105.1.37.01 (13770)</t>
  </si>
  <si>
    <t>6105.1.37.01.000.001 (36)</t>
  </si>
  <si>
    <t>6105.1.38 (13772)</t>
  </si>
  <si>
    <t>6105.1.38.01 (13773)</t>
  </si>
  <si>
    <t>6105.1.38.01.000.001 (2992)</t>
  </si>
  <si>
    <t>6105.1.39 (13775)</t>
  </si>
  <si>
    <t>6105.1.39.04 (13779)</t>
  </si>
  <si>
    <t>6105.1.39.04.000.001 (15655)</t>
  </si>
  <si>
    <t>6105.1.39.99 (13782)</t>
  </si>
  <si>
    <t>6105.1.39.99.000.001 (15550)</t>
  </si>
  <si>
    <t>6105.4 (14074)</t>
  </si>
  <si>
    <t>6105.4.05 (14088)</t>
  </si>
  <si>
    <t>6105.4.05.01 (14089)</t>
  </si>
  <si>
    <t>6105.4.05.01.040 (2845)</t>
  </si>
  <si>
    <t>6105.4.05.01.410 (691)</t>
  </si>
  <si>
    <t>6105.4.05.02 (14090)</t>
  </si>
  <si>
    <t>6105.4.05.02.040 (2858)</t>
  </si>
  <si>
    <t>6105.4.05.02.410 (692)</t>
  </si>
  <si>
    <t>6105.4.05.03 (14091)</t>
  </si>
  <si>
    <t>6105.4.05.03.040 (2861)</t>
  </si>
  <si>
    <t>6105.4.05.03.410 (854)</t>
  </si>
  <si>
    <t>6105.4.05.05 (14093)</t>
  </si>
  <si>
    <t>6105.4.05.05.410 (2201)</t>
  </si>
  <si>
    <t>6105.4.05.07 (14095)</t>
  </si>
  <si>
    <t>6105.4.05.07.410 (857)</t>
  </si>
  <si>
    <t>6105.4.05.08 (14096)</t>
  </si>
  <si>
    <t>6105.4.05.08.040 (2841)</t>
  </si>
  <si>
    <t>6105.4.05.08.410 (693)</t>
  </si>
  <si>
    <t>6105.4.05.99 (14099)</t>
  </si>
  <si>
    <t>6105.4.05.99.410 (695)</t>
  </si>
  <si>
    <t>6105.4.06.01 (14101)</t>
  </si>
  <si>
    <t>6105.4.06.01.410 (696)</t>
  </si>
  <si>
    <t>6105.4.06.02 (14102)</t>
  </si>
  <si>
    <t>6105.4.06.02.410 (697)</t>
  </si>
  <si>
    <t>6105.4.07 (14104)</t>
  </si>
  <si>
    <t>6105.4.07.01 (14105)</t>
  </si>
  <si>
    <t>6105.4.07.01.040 (2822)</t>
  </si>
  <si>
    <t>6105.4.07.01.040.005 (2819)</t>
  </si>
  <si>
    <t>6105.4.07.01.040.027 (2881)</t>
  </si>
  <si>
    <t>6105.4.07.01.040.034 (3070)</t>
  </si>
  <si>
    <t>6105.4.07.01.040.044 (2823)</t>
  </si>
  <si>
    <t>6105.4.07.01.040.045 (2821)</t>
  </si>
  <si>
    <t>6105.4.07.01.040.046 (2824)</t>
  </si>
  <si>
    <t>6105.4.07.01.410 (698)</t>
  </si>
  <si>
    <t>6105.4.07.01.410.001 (10521)</t>
  </si>
  <si>
    <t>6105.4.07.01.410.003 (10313)</t>
  </si>
  <si>
    <t>6105.4.07.01.410.004 (10249)</t>
  </si>
  <si>
    <t>6105.4.07.01.410.005 (10522)</t>
  </si>
  <si>
    <t>6105.4.07.01.410.010 (10482)</t>
  </si>
  <si>
    <t>6105.4.07.01.410.013 (10061)</t>
  </si>
  <si>
    <t>6105.4.07.01.410.014 (10388)</t>
  </si>
  <si>
    <t>6105.4.07.01.410.020 (2781)</t>
  </si>
  <si>
    <t>6105.4.07.99 (14107)</t>
  </si>
  <si>
    <t>6105.4.07.99.040.006 (2923)</t>
  </si>
  <si>
    <t>6105.4.07.99.410 (700)</t>
  </si>
  <si>
    <t>6105.4.07.99.410.006 (10060)</t>
  </si>
  <si>
    <t>6105.4.07.99.410.009 (10463)</t>
  </si>
  <si>
    <t>6105.4.07.99.410.016 (136)</t>
  </si>
  <si>
    <t>6105.4.07.99.410.075 (2871)</t>
  </si>
  <si>
    <t>6105.4.08 (14108)</t>
  </si>
  <si>
    <t>6105.4.08.01 (14109)</t>
  </si>
  <si>
    <t>6105.4.08.01.040 (2793)</t>
  </si>
  <si>
    <t>6105.4.08.01.040.028 (2939)</t>
  </si>
  <si>
    <t>6105.4.08.01.040.104 (2795)</t>
  </si>
  <si>
    <t>6105.4.08.01.040.105 (2796)</t>
  </si>
  <si>
    <t>6105.4.08.01.040.106 (2825)</t>
  </si>
  <si>
    <t>6105.4.08.01.040.110 (2906)</t>
  </si>
  <si>
    <t>6105.4.08.01.410 (701)</t>
  </si>
  <si>
    <t>6105.4.08.01.410.002 (10316)</t>
  </si>
  <si>
    <t>6105.4.08.01.410.004 (10063)</t>
  </si>
  <si>
    <t>6105.4.08.01.410.009 (10251)</t>
  </si>
  <si>
    <t>6105.4.08.01.410.011 (184)</t>
  </si>
  <si>
    <t>6105.4.08.01.410.016 (128)</t>
  </si>
  <si>
    <t>6105.4.08.01.410.017 (185)</t>
  </si>
  <si>
    <t>6105.4.08.01.410.019 (138)</t>
  </si>
  <si>
    <t>6105.4.08.01.410.023 (125)</t>
  </si>
  <si>
    <t>6105.4.08.01.410.027 (131)</t>
  </si>
  <si>
    <t>6105.4.08.01.410.028 (135)</t>
  </si>
  <si>
    <t>6105.4.08.01.410.036 (175)</t>
  </si>
  <si>
    <t>6105.4.08.01.410.050 (182)</t>
  </si>
  <si>
    <t>6105.4.08.01.410.056 (2771)</t>
  </si>
  <si>
    <t>6105.4.08.01.410.067 (2489)</t>
  </si>
  <si>
    <t>6105.4.08.01.410.069 (2840)</t>
  </si>
  <si>
    <t>6105.4.08.01.410.075 (162)</t>
  </si>
  <si>
    <t>6105.4.08.01.410.078 (2585)</t>
  </si>
  <si>
    <t>6105.4.08.01.410.086 (2929)</t>
  </si>
  <si>
    <t>6105.4.08.01.410.090 (2550)</t>
  </si>
  <si>
    <t>6105.4.08.01.410.101 (2548)</t>
  </si>
  <si>
    <t>6105.4.08.01.410.112 (2949)</t>
  </si>
  <si>
    <t>6105.4.08.01.410.113 (3007)</t>
  </si>
  <si>
    <t>SERVIÇO SEGURANÇA, MONITORAMENTO CÂMERA E GUARDA DE PORTARIA</t>
  </si>
  <si>
    <t>6105.4.10 (14115)</t>
  </si>
  <si>
    <t>6105.4.10.01 (14116)</t>
  </si>
  <si>
    <t>6105.4.10.01.410 (703)</t>
  </si>
  <si>
    <t>6105.4.10.01.410.001 (10322)</t>
  </si>
  <si>
    <t>6105.4.10.01.410.002 (10323)</t>
  </si>
  <si>
    <t>6105.4.12 (14121)</t>
  </si>
  <si>
    <t>6105.4.12.03 (14124)</t>
  </si>
  <si>
    <t>6105.4.12.03.410 (14130)</t>
  </si>
  <si>
    <t>6105.4.12.03.410.002 (3063)</t>
  </si>
  <si>
    <t>6105.4.15 (14132)</t>
  </si>
  <si>
    <t>6105.4.15.01 (14133)</t>
  </si>
  <si>
    <t>6105.4.15.01.410 (2904)</t>
  </si>
  <si>
    <t>6105.4.15.01.410.075 (2872)</t>
  </si>
  <si>
    <t>6105.4.16 (14134)</t>
  </si>
  <si>
    <t>6105.4.16.01 (14135)</t>
  </si>
  <si>
    <t>6105.4.16.01.040 (2976)</t>
  </si>
  <si>
    <t>6105.4.16.01.040.004 (2988)</t>
  </si>
  <si>
    <t>6105.4.16.01.410 (705)</t>
  </si>
  <si>
    <t>6105.4.16.01.410.002 (10257)</t>
  </si>
  <si>
    <t>6105.4.16.01.410.004 (10003)</t>
  </si>
  <si>
    <t>6105.4.16.01.410.008 (10471)</t>
  </si>
  <si>
    <t>6105.4.17 (706)</t>
  </si>
  <si>
    <t>6105.4.17.01 (14137)</t>
  </si>
  <si>
    <t>6105.4.17.01.040 (2943)</t>
  </si>
  <si>
    <t>6105.4.17.01.040.001 (2944)</t>
  </si>
  <si>
    <t>6105.4.17.01.410 (707)</t>
  </si>
  <si>
    <t>6105.4.17.01.410.001 (10392)</t>
  </si>
  <si>
    <t>6105.4.17.01.410.002 (1915)</t>
  </si>
  <si>
    <t>6105.4.18 (14139)</t>
  </si>
  <si>
    <t>6105.4.18.01 (14140)</t>
  </si>
  <si>
    <t>6105.4.18.01.410.006 (3020)</t>
  </si>
  <si>
    <t>6105.4.19 (14142)</t>
  </si>
  <si>
    <t>6105.4.19.04 (14146)</t>
  </si>
  <si>
    <t>6105.4.19.04.410 (912)</t>
  </si>
  <si>
    <t>6105.4.19.04.410.020 (907)</t>
  </si>
  <si>
    <t>6105.4.19.99 (14149)</t>
  </si>
  <si>
    <t>6105.4.19.99.040.010 (3084)</t>
  </si>
  <si>
    <t>6105.4.19.99.410 (709)</t>
  </si>
  <si>
    <t>6105.4.19.99.410.010 (10070)</t>
  </si>
  <si>
    <t>6105.4.19.99.410.012 (10196)</t>
  </si>
  <si>
    <t>6105.4.19.99.410.013 (10143)</t>
  </si>
  <si>
    <t>6105.4.19.99.410.017 (10080)</t>
  </si>
  <si>
    <t>6105.4.19.99.410.028 (10144)</t>
  </si>
  <si>
    <t>6105.4.19.99.410.031 (10201)</t>
  </si>
  <si>
    <t>6105.4.19.99.410.062 (2546)</t>
  </si>
  <si>
    <t>6105.4.19.99.410.076 (2806)</t>
  </si>
  <si>
    <t>6105.4.25 (14163)</t>
  </si>
  <si>
    <t>6105.4.25.01 (14164)</t>
  </si>
  <si>
    <t>6105.4.25.01.000.001 (15627)</t>
  </si>
  <si>
    <t>6105.4.26 (14169)</t>
  </si>
  <si>
    <t>6105.4.26.01 (14170)</t>
  </si>
  <si>
    <t>6105.4.26.01.000.001 (15511)</t>
  </si>
  <si>
    <t>6105.4.27 (14175)</t>
  </si>
  <si>
    <t>6105.4.27.01 (14176)</t>
  </si>
  <si>
    <t>6105.4.27.01.000.001 (15599)</t>
  </si>
  <si>
    <t>6105.4.28 (14181)</t>
  </si>
  <si>
    <t>6105.4.28.01 (14182)</t>
  </si>
  <si>
    <t>6105.4.28.01.000.001 (15632)</t>
  </si>
  <si>
    <t>6105.4.30 (14193)</t>
  </si>
  <si>
    <t>6105.4.30.01 (14194)</t>
  </si>
  <si>
    <t>6105.4.30.01.000.001 (15544)</t>
  </si>
  <si>
    <t>6105.4.32 (14205)</t>
  </si>
  <si>
    <t>6105.4.32.01 (14206)</t>
  </si>
  <si>
    <t>6105.4.32.01.000.003 (2514)</t>
  </si>
  <si>
    <t>6105.4.36 (14223)</t>
  </si>
  <si>
    <t>6105.4.36.01 (14224)</t>
  </si>
  <si>
    <t>6105.4.36.01.000.001 (15515)</t>
  </si>
  <si>
    <t>6105.4.37 (14229)</t>
  </si>
  <si>
    <t>6105.4.37.01 (14230)</t>
  </si>
  <si>
    <t>6105.4.37.01.000.001 (869)</t>
  </si>
  <si>
    <t>6105.4.38 (14235)</t>
  </si>
  <si>
    <t>6105.4.38.01 (14236)</t>
  </si>
  <si>
    <t>6105.4.38.01.000.001 (2993)</t>
  </si>
  <si>
    <t>6105.4.39 (14241)</t>
  </si>
  <si>
    <t>6105.4.39.01 (14242)</t>
  </si>
  <si>
    <t>6105.4.39.01.000.001 (15634)</t>
  </si>
  <si>
    <t>6105.5 (14247)</t>
  </si>
  <si>
    <t>6105.5.01 (14248)</t>
  </si>
  <si>
    <t>6105.5.01.01 (14249)</t>
  </si>
  <si>
    <t>6105.5.01.01.510 (690)</t>
  </si>
  <si>
    <t>6105.5.01.01.510.001 (10079)</t>
  </si>
  <si>
    <t>6105.5.01.01.510.003 (10410)</t>
  </si>
  <si>
    <t>6105.5.01.01.510.018 (1697)</t>
  </si>
  <si>
    <t>6105.5.01.01.510.054 (1992)</t>
  </si>
  <si>
    <t>6105.5.01.01.510.055 (2864)</t>
  </si>
  <si>
    <t>6105.5.01.01.510.056 (3050)</t>
  </si>
  <si>
    <t>6105.5.01.01.510.057 (3076)</t>
  </si>
  <si>
    <t>6105.5.01.10 (14250)</t>
  </si>
  <si>
    <t>6105.5.01.10.510.200 (3029)</t>
  </si>
  <si>
    <t>6105.5.02 (14251)</t>
  </si>
  <si>
    <t>6105.5.02.01 (14252)</t>
  </si>
  <si>
    <t>6105.5.02.01.510.001 (2423)</t>
  </si>
  <si>
    <t>6105.5.02.10 (14253)</t>
  </si>
  <si>
    <t>6105.5.02.10.510.200 (3024)</t>
  </si>
  <si>
    <t>6111 (14398)</t>
  </si>
  <si>
    <t>6111.1 (14399)</t>
  </si>
  <si>
    <t>6111.1.20 (14400)</t>
  </si>
  <si>
    <t>6111.1.20.05 (14404)</t>
  </si>
  <si>
    <t>6111.1.20.05.000.001 (2779)</t>
  </si>
  <si>
    <t>6111.1.21 (14409)</t>
  </si>
  <si>
    <t>6111.1.21.01 (14410)</t>
  </si>
  <si>
    <t>6111.1.21.01.001.001 (1698)</t>
  </si>
  <si>
    <t>6111.1.21.01.001.002 (2443)</t>
  </si>
  <si>
    <t>6111.1.21.02 (14411)</t>
  </si>
  <si>
    <t>6111.1.21.02.001.001 (2588)</t>
  </si>
  <si>
    <t>6111.1.21.03 (14412)</t>
  </si>
  <si>
    <t>6111.1.21.03.002 (859)</t>
  </si>
  <si>
    <t>6111.1.21.03.002.001 (10690)</t>
  </si>
  <si>
    <t>6111.1.21.99 (14414)</t>
  </si>
  <si>
    <t>6111.1.21.99.001 (15338)</t>
  </si>
  <si>
    <t>6111.1.21.99.001.003 (6857)</t>
  </si>
  <si>
    <t>6111.1.21.99.001.005 (233)</t>
  </si>
  <si>
    <t>6111.1.21.99.001.006 (2044)</t>
  </si>
  <si>
    <t>6111.1.21.99.001.007 (2155)</t>
  </si>
  <si>
    <t>6111.1.21.99.002 (15206)</t>
  </si>
  <si>
    <t>6111.1.21.99.002.002 (10700)</t>
  </si>
  <si>
    <t>6111.1.21.99.002.003 (3066)</t>
  </si>
  <si>
    <t>6111.1.30 (14415)</t>
  </si>
  <si>
    <t>6111.1.30.01 (14416)</t>
  </si>
  <si>
    <t>6111.1.30.01.001.001 (2327)</t>
  </si>
  <si>
    <t>6111.1.30.02 (14417)</t>
  </si>
  <si>
    <t>6111.1.30.02.001.001 (2329)</t>
  </si>
  <si>
    <t>6111.1.30.06 (14421)</t>
  </si>
  <si>
    <t>6111.1.30.06.001.001 (2106)</t>
  </si>
  <si>
    <t>6115 (14423)</t>
  </si>
  <si>
    <t>6115.1 (14424)</t>
  </si>
  <si>
    <t>6115.1.14 (14467)</t>
  </si>
  <si>
    <t>6115.1.14.01 (14468)</t>
  </si>
  <si>
    <t>6115.1.14.01.001 (15410)</t>
  </si>
  <si>
    <t>6115.1.14.01.001.001 (6906)</t>
  </si>
  <si>
    <t>6115.1.19 (14479)</t>
  </si>
  <si>
    <t>6115.1.19.99 (14486)</t>
  </si>
  <si>
    <t>6115.1.19.99.001 (710)</t>
  </si>
  <si>
    <t>6115.1.19.99.001.058 (232)</t>
  </si>
  <si>
    <t>6115.1.19.99.001.089 (3008)</t>
  </si>
  <si>
    <t>6115.4 (3114)</t>
  </si>
  <si>
    <t>6115.4.11 (3112)</t>
  </si>
  <si>
    <t>6115.4.11.01.001.001 (3113)</t>
  </si>
  <si>
    <t>6200 (14549)</t>
  </si>
  <si>
    <t>6201 (14550)</t>
  </si>
  <si>
    <t>6201.5 (14551)</t>
  </si>
  <si>
    <t>6201.5.01 (14552)</t>
  </si>
  <si>
    <t>6201.5.01.01 (839)</t>
  </si>
  <si>
    <t>6201.5.01.01.001.001 (6724)</t>
  </si>
  <si>
    <t>6201.5.01.01.001.002 (6725)</t>
  </si>
  <si>
    <t>6201.5.01.01.001.003 (6726)</t>
  </si>
  <si>
    <t>6201.5.02 (14553)</t>
  </si>
  <si>
    <t>6201.5.02.01 (840)</t>
  </si>
  <si>
    <t>6201.5.02.01.001.001 (6815)</t>
  </si>
  <si>
    <t>6201.5.02.01.001.002 (6816)</t>
  </si>
  <si>
    <t>6201.5.02.01.001.003 (6817)</t>
  </si>
  <si>
    <t>6300 (14554)</t>
  </si>
  <si>
    <t>6301 (14555)</t>
  </si>
  <si>
    <t>6301.1 (14556)</t>
  </si>
  <si>
    <t>6301.1.01 (14557)</t>
  </si>
  <si>
    <t>6301.1.01.01 (795)</t>
  </si>
  <si>
    <t>6301.1.01.01.003 (796)</t>
  </si>
  <si>
    <t>6301.1.01.01.003.001 (10530)</t>
  </si>
  <si>
    <t>6301.1.21 (14569)</t>
  </si>
  <si>
    <t>6301.1.21.00.000.001 (15602)</t>
  </si>
  <si>
    <t>6301.1.23 (14571)</t>
  </si>
  <si>
    <t>6301.1.23.00.000.001 (15654)</t>
  </si>
  <si>
    <t>6301.1.31 (14579)</t>
  </si>
  <si>
    <t>6301.1.31.00.000.001 (15552)</t>
  </si>
  <si>
    <t>6301.1.32 (14580)</t>
  </si>
  <si>
    <t>6301.1.32.00.000.001 (15577)</t>
  </si>
  <si>
    <t>6301.1.99 (14568)</t>
  </si>
  <si>
    <t>6301.1.99.01 (15401)</t>
  </si>
  <si>
    <t>6301.1.99.01.003 (15217)</t>
  </si>
  <si>
    <t>6301.1.99.01.003.005 (3018)</t>
  </si>
  <si>
    <t>6301.4 (14631)</t>
  </si>
  <si>
    <t>6301.4.01 (14632)</t>
  </si>
  <si>
    <t>6301.4.01.01.001 (901)</t>
  </si>
  <si>
    <t>6301.4.01.01.001.001 (902)</t>
  </si>
  <si>
    <t>6301.4.03 (14634)</t>
  </si>
  <si>
    <t>6301.4.03.01.001 (903)</t>
  </si>
  <si>
    <t>6301.4.03.01.001.001 (904)</t>
  </si>
  <si>
    <t>6301.4.11 (14642)</t>
  </si>
  <si>
    <t>6301.4.11.01 (717)</t>
  </si>
  <si>
    <t>6301.4.11.01.001 (718)</t>
  </si>
  <si>
    <t>6301.4.11.01.001.001 (6663)</t>
  </si>
  <si>
    <t>6301.4.11.01.001.002 (6664)</t>
  </si>
  <si>
    <t>6301.4.11.01.001.003 (1421)</t>
  </si>
  <si>
    <t>6301.4.21 (14644)</t>
  </si>
  <si>
    <t>6301.4.21.01 (14645)</t>
  </si>
  <si>
    <t>6301.4.21.01.000.001 (15498)</t>
  </si>
  <si>
    <t>6301.4.23 (14656)</t>
  </si>
  <si>
    <t>6301.4.23.01 (14657)</t>
  </si>
  <si>
    <t>6301.4.23.01.000.001 (15497)</t>
  </si>
  <si>
    <t>6301.4.31 (14704)</t>
  </si>
  <si>
    <t>6301.4.31.01 (14705)</t>
  </si>
  <si>
    <t>6301.4.31.01.000.001 (15514)</t>
  </si>
  <si>
    <t>6301.4.32 (14710)</t>
  </si>
  <si>
    <t>6301.4.32.01 (14711)</t>
  </si>
  <si>
    <t>6301.4.32.01.000.001 (15597)</t>
  </si>
  <si>
    <t>6301.4.99 (14643)</t>
  </si>
  <si>
    <t>6301.4.99.01 (15166)</t>
  </si>
  <si>
    <t>6301.4.99.01.001 (15435)</t>
  </si>
  <si>
    <t>6301.4.99.01.001.003 (6657)</t>
  </si>
  <si>
    <t>6301.4.99.01.001.011 (1825)</t>
  </si>
  <si>
    <t>6305 (14767)</t>
  </si>
  <si>
    <t>6305.1 (14768)</t>
  </si>
  <si>
    <t>6305.1.03 (14777)</t>
  </si>
  <si>
    <t>6305.1.03.01.003 (787)</t>
  </si>
  <si>
    <t>6305.1.03.01.003.001 (788)</t>
  </si>
  <si>
    <t>6305.1.11 (14785)</t>
  </si>
  <si>
    <t>6305.1.11.01.003 (785)</t>
  </si>
  <si>
    <t>6305.1.11.01.003.001 (10595)</t>
  </si>
  <si>
    <t>6305.1.11.01.003.002 (10588)</t>
  </si>
  <si>
    <t>6305.1.11.01.003.003 (1225)</t>
  </si>
  <si>
    <t>6305.1.21 (14787)</t>
  </si>
  <si>
    <t>6305.1.21.03 (14790)</t>
  </si>
  <si>
    <t>6305.1.21.03.000.001 (15560)</t>
  </si>
  <si>
    <t>6305.1.23 (14795)</t>
  </si>
  <si>
    <t>6305.1.23.00.000.001 (15625)</t>
  </si>
  <si>
    <t>6305.1.29 (14801)</t>
  </si>
  <si>
    <t>6305.1.29.00.000.001 (15653)</t>
  </si>
  <si>
    <t>6305.1.32 (14804)</t>
  </si>
  <si>
    <t>6305.1.32.00.000.001 (15647)</t>
  </si>
  <si>
    <t>6305.1.99 (14786)</t>
  </si>
  <si>
    <t>6305.1.99.09 (15407)</t>
  </si>
  <si>
    <t>6305.1.99.09.003 (15360)</t>
  </si>
  <si>
    <t>6305.1.99.09.003.007 (2981)</t>
  </si>
  <si>
    <t>6305.1.99.09.004 (15374)</t>
  </si>
  <si>
    <t>6305.1.99.09.004.001 (485)</t>
  </si>
  <si>
    <t>6305.4 (14879)</t>
  </si>
  <si>
    <t>6305.4.01 (14880)</t>
  </si>
  <si>
    <t>6305.4.01.03 (14883)</t>
  </si>
  <si>
    <t>6305.4.01.03.001 (905)</t>
  </si>
  <si>
    <t>6305.4.01.03.001.001 (906)</t>
  </si>
  <si>
    <t>6305.4.03 (14888)</t>
  </si>
  <si>
    <t>6305.4.03.00.000.003 (6784)</t>
  </si>
  <si>
    <t>6305.4.03.00.000.008 (6792)</t>
  </si>
  <si>
    <t>6305.4.09 (14894)</t>
  </si>
  <si>
    <t>6305.4.09.00.000.014 (266)</t>
  </si>
  <si>
    <t>6305.4.21 (14898)</t>
  </si>
  <si>
    <t>6305.4.21.01 (14899)</t>
  </si>
  <si>
    <t>6305.4.21.01.000.001 (15584)</t>
  </si>
  <si>
    <t>6305.4.23 (14910)</t>
  </si>
  <si>
    <t>6305.4.23.01 (14911)</t>
  </si>
  <si>
    <t>6305.4.23.01.000.001 (15506)</t>
  </si>
  <si>
    <t>6305.4.29 (14946)</t>
  </si>
  <si>
    <t>6305.4.29.01 (14947)</t>
  </si>
  <si>
    <t>6305.4.29.01.000.001 (15551)</t>
  </si>
  <si>
    <t>6305.4.32 (14964)</t>
  </si>
  <si>
    <t>6305.4.32.01 (14965)</t>
  </si>
  <si>
    <t>6305.4.32.01.000.001 (15638)</t>
  </si>
  <si>
    <t>6305.4.99 (14897)</t>
  </si>
  <si>
    <t>6305.4.99.09 (15370)</t>
  </si>
  <si>
    <t>6305.4.99.09.001 (15413)</t>
  </si>
  <si>
    <t>6305.4.99.09.001.014 (2335)</t>
  </si>
  <si>
    <t>6305.4.99.09.001.015 (2565)</t>
  </si>
  <si>
    <t>7000 (15053)</t>
  </si>
  <si>
    <t>7500 (15066)</t>
  </si>
  <si>
    <t>7501 (15067)</t>
  </si>
  <si>
    <t>7501.1 (15068)</t>
  </si>
  <si>
    <t>7501.1.01 (15069)</t>
  </si>
  <si>
    <t>7501.1.01.00.001.001 (7103)</t>
  </si>
  <si>
    <t>7501.1.02 (15070)</t>
  </si>
  <si>
    <t>7501.1.02.00.000.001 (7106)</t>
  </si>
  <si>
    <t>7501.1.03 (15071)</t>
  </si>
  <si>
    <t>7501.1.03.00.000.002 (2359)</t>
  </si>
  <si>
    <t>7501.1.04 (15072)</t>
  </si>
  <si>
    <t>7501.1.04.00.000.002 (2358)</t>
  </si>
  <si>
    <t>7700 (15125)</t>
  </si>
  <si>
    <t>7701 (15126)</t>
  </si>
  <si>
    <t>7701.1 (15127)</t>
  </si>
  <si>
    <t>7701.1.01 (15128)</t>
  </si>
  <si>
    <t>7701.1.01.00.000.001 (272)</t>
  </si>
  <si>
    <t>dividendos adicionais</t>
  </si>
  <si>
    <t>reserva de lucros</t>
  </si>
  <si>
    <t>dididendos intercalares pagos</t>
  </si>
  <si>
    <t>diferença de dividendos adicionais a pagar</t>
  </si>
  <si>
    <t>lucro líquido</t>
  </si>
  <si>
    <t>check BP</t>
  </si>
  <si>
    <t>Total impostos diferidos ativos</t>
  </si>
  <si>
    <t xml:space="preserve">check balancete </t>
  </si>
  <si>
    <t>Saldo em 31 de dezembro de 2019 (reapresentado)</t>
  </si>
  <si>
    <t>ajuste de auditoria</t>
  </si>
  <si>
    <t>01.01.2019</t>
  </si>
  <si>
    <t>REAPRESENTADO</t>
  </si>
  <si>
    <t>Consorcio Pai Querê</t>
  </si>
  <si>
    <t>Saldos 2018</t>
  </si>
  <si>
    <t>Dividendos 2019</t>
  </si>
  <si>
    <t>intangível/aquisição acionária</t>
  </si>
  <si>
    <t>ETAU (a)</t>
  </si>
  <si>
    <t>ETAU - ativo intangível (a.1)</t>
  </si>
  <si>
    <t xml:space="preserve">Consorcio Pai Querê </t>
  </si>
  <si>
    <t>Juros Sobre Capital Próprio/Dividendos relativos a resultados acumulados</t>
  </si>
  <si>
    <t>Saldo em 01 de janeiro de 2019 (reapresentado)</t>
  </si>
  <si>
    <t>Uso do bem público - CESAP (Nota 11)</t>
  </si>
  <si>
    <t>Resultado com equivalência patrimonial (Nota 8)</t>
  </si>
  <si>
    <t>Valor residual de imobilizado e intangível baixado (Nota 9)</t>
  </si>
  <si>
    <t>Depreciação e a amortização (Nota 9 e Nota 10)</t>
  </si>
  <si>
    <t>Aumento no contas a receber</t>
  </si>
  <si>
    <t>(Redução) aumento no imposto de renda e contribuição social</t>
  </si>
  <si>
    <t>Adições em imobilizado/intangível (Nota 9 e Nota 10)</t>
  </si>
  <si>
    <t>Dividendos recebidos (Nota 8)</t>
  </si>
  <si>
    <t>Aquisição ações (Nota 8)</t>
  </si>
  <si>
    <t>Amortização  intangível - ETAU (Nota 8)</t>
  </si>
  <si>
    <t>Caixa líquido gerado pelas (utilizado nas) atividades de investimento</t>
  </si>
  <si>
    <t>Dividendos intercalares (Nota 12)</t>
  </si>
  <si>
    <t>Receitas</t>
  </si>
  <si>
    <t xml:space="preserve">   Remunerações</t>
  </si>
  <si>
    <t xml:space="preserve">   Encargos sociais (exceto INSS)</t>
  </si>
  <si>
    <t xml:space="preserve">   Entidade de previdência privada</t>
  </si>
  <si>
    <t xml:space="preserve">   Auxílio-alimentação</t>
  </si>
  <si>
    <t xml:space="preserve">   Provisões de férias e 13º</t>
  </si>
  <si>
    <t xml:space="preserve">   Convênio assistencial e outros benefícios</t>
  </si>
  <si>
    <t xml:space="preserve">   Participação nos resultados</t>
  </si>
  <si>
    <t xml:space="preserve">   Programa de Demissão Voluntária - PIDV</t>
  </si>
  <si>
    <t xml:space="preserve">   Custos imobilizados</t>
  </si>
  <si>
    <t xml:space="preserve">   Outros</t>
  </si>
  <si>
    <t xml:space="preserve">   INSS (sobre folha de pagamento)</t>
  </si>
  <si>
    <t xml:space="preserve">   IRPJ/CSLL</t>
  </si>
  <si>
    <t xml:space="preserve">   PIS/COFINS e outros</t>
  </si>
  <si>
    <t xml:space="preserve">   Resultados retidos</t>
  </si>
  <si>
    <r>
      <rPr>
        <b/>
        <sz val="9"/>
        <rFont val="Arial"/>
        <family val="2"/>
      </rPr>
      <t>* Tributos a Compensar:</t>
    </r>
    <r>
      <rPr>
        <sz val="9"/>
        <rFont val="Arial"/>
        <family val="2"/>
      </rPr>
      <t xml:space="preserve"> refere-se ao pagamento por estimativa de IRPJ/CSLL, IRRF de aplicações financeiras que serão compensados no final do exercicio.</t>
    </r>
  </si>
  <si>
    <r>
      <t>* Estoque:</t>
    </r>
    <r>
      <rPr>
        <sz val="9"/>
        <rFont val="Arial"/>
        <family val="2"/>
      </rPr>
      <t xml:space="preserve"> aumento proveniente do almoxarifado de iluminação publica.</t>
    </r>
  </si>
  <si>
    <r>
      <t xml:space="preserve">* </t>
    </r>
    <r>
      <rPr>
        <b/>
        <sz val="9"/>
        <rFont val="Arial"/>
        <family val="2"/>
      </rPr>
      <t>Despesas Pagas Antecipadamente:</t>
    </r>
    <r>
      <rPr>
        <sz val="9"/>
        <rFont val="Arial"/>
        <family val="2"/>
      </rPr>
      <t xml:space="preserve"> refere-se ao prémio risco hidrologico.</t>
    </r>
  </si>
  <si>
    <r>
      <rPr>
        <b/>
        <sz val="9"/>
        <rFont val="Arial"/>
        <family val="2"/>
      </rPr>
      <t>* Outros Ativos Circulantes:</t>
    </r>
    <r>
      <rPr>
        <sz val="9"/>
        <rFont val="Arial"/>
        <family val="2"/>
      </rPr>
      <t xml:space="preserve"> o valor mais significativo contabilizado, refere-se a divergencia do relatório de provisões de férias (Diretores), o qual já foi aberto chamado </t>
    </r>
  </si>
  <si>
    <r>
      <t>* Outros Créditos:</t>
    </r>
    <r>
      <rPr>
        <sz val="9"/>
        <rFont val="Arial"/>
        <family val="2"/>
      </rPr>
      <t xml:space="preserve"> a variação entre um exercicio e outro, refere-se a amortização do risco hidrologico no longo prazo e que agora passará a ser amortizado no curto prazo.</t>
    </r>
  </si>
  <si>
    <r>
      <rPr>
        <b/>
        <sz val="9"/>
        <rFont val="Arial"/>
        <family val="2"/>
      </rPr>
      <t>* Tributos Diferidos:</t>
    </r>
    <r>
      <rPr>
        <sz val="9"/>
        <rFont val="Arial"/>
        <family val="2"/>
      </rPr>
      <t xml:space="preserve"> refere-se as diferenças temporarias provenientes de amortização e encargos de UBP, cuja movimentação ocorre sempre no final do exercicio.</t>
    </r>
  </si>
  <si>
    <r>
      <rPr>
        <b/>
        <sz val="9"/>
        <rFont val="Arial"/>
        <family val="2"/>
      </rPr>
      <t>* Investimentos:</t>
    </r>
    <r>
      <rPr>
        <sz val="9"/>
        <rFont val="Arial"/>
        <family val="2"/>
      </rPr>
      <t xml:space="preserve"> variação decorrente de equivalencia patrimonial. </t>
    </r>
  </si>
  <si>
    <r>
      <rPr>
        <b/>
        <sz val="9"/>
        <rFont val="Arial"/>
        <family val="2"/>
      </rPr>
      <t>* Imobilizado e intangivel</t>
    </r>
    <r>
      <rPr>
        <sz val="9"/>
        <rFont val="Arial"/>
        <family val="2"/>
      </rPr>
      <t>: variações decorrentes de adições, baixas e depreciação de ativos.</t>
    </r>
  </si>
  <si>
    <r>
      <rPr>
        <b/>
        <sz val="9"/>
        <rFont val="Arial"/>
        <family val="2"/>
      </rPr>
      <t>* Fornecedores - Partes Relacionadas:</t>
    </r>
    <r>
      <rPr>
        <sz val="9"/>
        <rFont val="Arial"/>
        <family val="2"/>
      </rPr>
      <t xml:space="preserve"> refere-se a compra de energia da BAESA.</t>
    </r>
  </si>
  <si>
    <r>
      <rPr>
        <b/>
        <sz val="9"/>
        <rFont val="Arial"/>
        <family val="2"/>
      </rPr>
      <t>* Impostos de Contribuições Sociais:</t>
    </r>
    <r>
      <rPr>
        <sz val="9"/>
        <rFont val="Arial"/>
        <family val="2"/>
      </rPr>
      <t xml:space="preserve"> além dos valores a pagar de ICMS, Pis, Cofins, o montante mais significativo refere-se a imposto de renda e contrbuição social, que,</t>
    </r>
  </si>
  <si>
    <r>
      <rPr>
        <b/>
        <sz val="9"/>
        <rFont val="Arial"/>
        <family val="2"/>
      </rPr>
      <t>* Outras Contas a Pagar:</t>
    </r>
    <r>
      <rPr>
        <sz val="9"/>
        <rFont val="Arial"/>
        <family val="2"/>
      </rPr>
      <t xml:space="preserve"> é composta pelo encargos de uso da rede elétrica de 99 mil, compra de materiais e serviços de 1.144 mil, obrigações sociais e trabalhistas de 1.370 mil,</t>
    </r>
  </si>
  <si>
    <r>
      <rPr>
        <b/>
        <sz val="9"/>
        <rFont val="Arial"/>
        <family val="2"/>
      </rPr>
      <t>* Uso do bem publico CESAP:</t>
    </r>
    <r>
      <rPr>
        <sz val="9"/>
        <rFont val="Arial"/>
        <family val="2"/>
      </rPr>
      <t xml:space="preserve"> apropriações vindas do balancete de Salto Pilão.</t>
    </r>
  </si>
  <si>
    <r>
      <rPr>
        <b/>
        <sz val="9"/>
        <rFont val="Arial"/>
        <family val="2"/>
      </rPr>
      <t>* Partes Relacionadas:</t>
    </r>
    <r>
      <rPr>
        <sz val="9"/>
        <rFont val="Arial"/>
        <family val="2"/>
      </rPr>
      <t xml:space="preserve"> refere-se ao montante de P&amp;D (Salto Pilão) + Aquisição de Unidade de conservação tambem de Salto Pilão.</t>
    </r>
  </si>
  <si>
    <r>
      <rPr>
        <b/>
        <sz val="9"/>
        <rFont val="Arial"/>
        <family val="2"/>
      </rPr>
      <t>* Provisões para Litigios</t>
    </r>
    <r>
      <rPr>
        <sz val="9"/>
        <rFont val="Arial"/>
        <family val="2"/>
      </rPr>
      <t>: refere-se a provisões trabalhista de Salto Pilão da ordem de 45 mil e provisão civel da DMEE referente ao Espólio Pedro Afonso Guimaraes de R$ 244 mil</t>
    </r>
  </si>
  <si>
    <t>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</si>
</sst>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4" formatCode="_-&quot;R$&quot;\ * #,##0.00_-;\-&quot;R$&quot;\ * #,##0.00_-;_-&quot;R$&quot;\ * &quot;-&quot;??_-;_-@_-"/>
    <numFmt numFmtId="43" formatCode="_-* #,##0.00_-;\-* #,##0.00_-;_-* &quot;-&quot;??_-;_-@_-"/>
    <numFmt numFmtId="164" formatCode="0.0000%"/>
    <numFmt numFmtId="165" formatCode="0_);\(0\)"/>
    <numFmt numFmtId="166" formatCode="_(* ###0_);_(* \(#,##0\);_(* &quot;-&quot;_);_(@_)"/>
    <numFmt numFmtId="167" formatCode="_(* #,##0_);_(* \(#,##0\);_(* &quot;-&quot;_);_(@_)"/>
    <numFmt numFmtId="168" formatCode="_(* #,##0.00_);_(* \(#,##0.00\);_(* &quot;-&quot;??_);_(@_)"/>
    <numFmt numFmtId="169" formatCode="#,##0.00&quot; d&quot;;#,##0.00&quot; c&quot;;#,##0.00"/>
    <numFmt numFmtId="170" formatCode="_-* #,##0.0000_-;\-* #,##0.0000_-;_-* &quot;-&quot;????_-;_-@_-"/>
    <numFmt numFmtId="171" formatCode="0000"/>
    <numFmt numFmtId="172" formatCode="#,##0.00&quot;d&quot;;#,##0.00&quot;c&quot;;#,##0.00\ "/>
    <numFmt numFmtId="173" formatCode="_(* #,##0,_);_(* \(#,##0,\);_(\ * &quot;  -&quot;_);@"/>
    <numFmt numFmtId="174" formatCode="#,###;\(#,###\)"/>
    <numFmt numFmtId="175" formatCode="_(&quot;R$ &quot;* #,##0.00_);_(&quot;R$ &quot;* \(#,##0.00\);_(&quot;R$ &quot;* &quot;-&quot;??_);_(@_)"/>
    <numFmt numFmtId="176" formatCode="_(* #,##0_);_(* \(#,##0\);_(* &quot;-&quot;??_);_(@_)"/>
    <numFmt numFmtId="177" formatCode="###,###,##0.00"/>
  </numFmts>
  <fonts count="49" x14ac:knownFonts="1">
    <font>
      <sz val="11"/>
      <color theme="1"/>
      <name val="Calibri"/>
      <family val="2"/>
      <scheme val="minor"/>
    </font>
    <font>
      <sz val="11"/>
      <color rgb="FF000000"/>
      <name val="Arial"/>
      <family val="2"/>
    </font>
    <font>
      <sz val="11"/>
      <color theme="1"/>
      <name val="Arial"/>
      <family val="2"/>
    </font>
    <font>
      <sz val="10"/>
      <color theme="1"/>
      <name val="Calibri"/>
      <family val="2"/>
      <scheme val="minor"/>
    </font>
    <font>
      <sz val="9"/>
      <color theme="1"/>
      <name val="Arial"/>
      <family val="2"/>
    </font>
    <font>
      <b/>
      <sz val="9"/>
      <color theme="1"/>
      <name val="Arial"/>
      <family val="2"/>
    </font>
    <font>
      <sz val="9"/>
      <color rgb="FF000000"/>
      <name val="Arial"/>
      <family val="2"/>
    </font>
    <font>
      <sz val="9"/>
      <color theme="1"/>
      <name val="Calibri"/>
      <family val="2"/>
      <scheme val="minor"/>
    </font>
    <font>
      <b/>
      <sz val="11"/>
      <color theme="1"/>
      <name val="Arial"/>
      <family val="2"/>
    </font>
    <font>
      <sz val="8"/>
      <color rgb="FF000000"/>
      <name val="Arial"/>
      <family val="2"/>
    </font>
    <font>
      <b/>
      <sz val="8"/>
      <color rgb="FF000000"/>
      <name val="Arial"/>
      <family val="2"/>
    </font>
    <font>
      <b/>
      <sz val="9"/>
      <color rgb="FF000000"/>
      <name val="Arial"/>
      <family val="2"/>
    </font>
    <font>
      <b/>
      <sz val="8"/>
      <color theme="1"/>
      <name val="Arial"/>
      <family val="2"/>
    </font>
    <font>
      <sz val="8"/>
      <color theme="1"/>
      <name val="Arial"/>
      <family val="2"/>
    </font>
    <font>
      <u/>
      <sz val="11"/>
      <color theme="1"/>
      <name val="Arial"/>
      <family val="2"/>
    </font>
    <font>
      <sz val="8"/>
      <color theme="1"/>
      <name val="Times New Roman"/>
      <family val="1"/>
    </font>
    <font>
      <sz val="11"/>
      <color theme="1"/>
      <name val="Calibri"/>
      <family val="2"/>
      <scheme val="minor"/>
    </font>
    <font>
      <b/>
      <sz val="11"/>
      <color theme="1"/>
      <name val="Calibri"/>
      <family val="2"/>
      <scheme val="minor"/>
    </font>
    <font>
      <sz val="11"/>
      <name val="Arial"/>
      <family val="2"/>
    </font>
    <font>
      <b/>
      <sz val="11"/>
      <name val="Arial"/>
      <family val="2"/>
    </font>
    <font>
      <b/>
      <sz val="11"/>
      <color rgb="FF000000"/>
      <name val="Arial"/>
      <family val="2"/>
    </font>
    <font>
      <sz val="8"/>
      <name val="Arial"/>
      <family val="2"/>
    </font>
    <font>
      <b/>
      <sz val="8"/>
      <name val="Arial"/>
      <family val="2"/>
    </font>
    <font>
      <b/>
      <u/>
      <sz val="11"/>
      <color theme="1"/>
      <name val="Calibri"/>
      <family val="2"/>
      <scheme val="minor"/>
    </font>
    <font>
      <u/>
      <sz val="11"/>
      <color theme="1"/>
      <name val="Calibri"/>
      <family val="2"/>
      <scheme val="minor"/>
    </font>
    <font>
      <b/>
      <sz val="9"/>
      <name val="Arial"/>
      <family val="2"/>
    </font>
    <font>
      <sz val="9"/>
      <color rgb="FF000000"/>
      <name val="Courier New"/>
      <family val="1"/>
    </font>
    <font>
      <sz val="10"/>
      <name val="Arial"/>
      <family val="2"/>
    </font>
    <font>
      <sz val="8"/>
      <color rgb="FFFF0000"/>
      <name val="Arial"/>
      <family val="2"/>
    </font>
    <font>
      <sz val="8"/>
      <color indexed="8"/>
      <name val="Arial"/>
      <family val="2"/>
    </font>
    <font>
      <b/>
      <sz val="9"/>
      <color indexed="8"/>
      <name val="Arial"/>
      <family val="2"/>
    </font>
    <font>
      <sz val="8"/>
      <color indexed="64"/>
      <name val="Arial"/>
      <family val="2"/>
    </font>
    <font>
      <b/>
      <sz val="8"/>
      <color indexed="8"/>
      <name val="Arial"/>
      <family val="2"/>
    </font>
    <font>
      <sz val="9"/>
      <color indexed="8"/>
      <name val="Courier New"/>
      <family val="1"/>
    </font>
    <font>
      <sz val="8"/>
      <color theme="1"/>
      <name val="Calibri"/>
      <family val="2"/>
      <scheme val="minor"/>
    </font>
    <font>
      <u val="singleAccounting"/>
      <sz val="11"/>
      <color theme="1"/>
      <name val="Calibri"/>
      <family val="2"/>
      <scheme val="minor"/>
    </font>
    <font>
      <sz val="9"/>
      <color indexed="81"/>
      <name val="Segoe UI"/>
      <family val="2"/>
    </font>
    <font>
      <b/>
      <sz val="9"/>
      <color indexed="81"/>
      <name val="Segoe UI"/>
      <family val="2"/>
    </font>
    <font>
      <b/>
      <sz val="10"/>
      <color theme="1"/>
      <name val="Calibri"/>
      <family val="2"/>
      <scheme val="minor"/>
    </font>
    <font>
      <sz val="7"/>
      <color theme="1"/>
      <name val="Arial"/>
      <family val="2"/>
    </font>
    <font>
      <b/>
      <i/>
      <sz val="11"/>
      <color rgb="FF000000"/>
      <name val="Arial"/>
      <family val="2"/>
    </font>
    <font>
      <sz val="9"/>
      <name val="Arial"/>
      <family val="2"/>
    </font>
    <font>
      <b/>
      <i/>
      <sz val="11"/>
      <name val="Arial"/>
      <family val="2"/>
    </font>
    <font>
      <b/>
      <i/>
      <sz val="9"/>
      <name val="Arial"/>
      <family val="2"/>
    </font>
    <font>
      <i/>
      <sz val="11"/>
      <name val="Arial"/>
      <family val="2"/>
    </font>
    <font>
      <u val="singleAccounting"/>
      <sz val="9"/>
      <name val="Arial"/>
      <family val="2"/>
    </font>
    <font>
      <b/>
      <i/>
      <u/>
      <sz val="9"/>
      <name val="Arial"/>
      <family val="2"/>
    </font>
    <font>
      <i/>
      <sz val="9"/>
      <name val="Arial"/>
      <family val="2"/>
    </font>
    <font>
      <b/>
      <u/>
      <sz val="9"/>
      <name val="Arial"/>
      <family val="2"/>
    </font>
  </fonts>
  <fills count="26">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rgb="FF00FFCC"/>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FF"/>
      </patternFill>
    </fill>
    <fill>
      <patternFill patternType="solid">
        <fgColor theme="1"/>
        <bgColor indexed="64"/>
      </patternFill>
    </fill>
    <fill>
      <patternFill patternType="solid">
        <fgColor rgb="FF00B05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99FFCC"/>
        <bgColor indexed="64"/>
      </patternFill>
    </fill>
    <fill>
      <patternFill patternType="solid">
        <fgColor theme="5" tint="0.39997558519241921"/>
        <bgColor indexed="64"/>
      </patternFill>
    </fill>
    <fill>
      <patternFill patternType="solid">
        <fgColor rgb="FFFF00FF"/>
        <bgColor indexed="64"/>
      </patternFill>
    </fill>
    <fill>
      <patternFill patternType="solid">
        <fgColor rgb="FFFFCCFF"/>
        <bgColor indexed="64"/>
      </patternFill>
    </fill>
    <fill>
      <patternFill patternType="solid">
        <fgColor theme="3" tint="0.59999389629810485"/>
        <bgColor indexed="64"/>
      </patternFill>
    </fill>
    <fill>
      <patternFill patternType="solid">
        <fgColor rgb="FF996600"/>
        <bgColor indexed="64"/>
      </patternFill>
    </fill>
    <fill>
      <patternFill patternType="solid">
        <fgColor rgb="FFCC99FF"/>
        <bgColor indexed="64"/>
      </patternFill>
    </fill>
    <fill>
      <patternFill patternType="solid">
        <fgColor rgb="FFFF9900"/>
        <bgColor indexed="64"/>
      </patternFill>
    </fill>
    <fill>
      <patternFill patternType="solid">
        <fgColor theme="0" tint="-0.249977111117893"/>
        <bgColor indexed="64"/>
      </patternFill>
    </fill>
    <fill>
      <patternFill patternType="solid">
        <fgColor rgb="FF33CCCC"/>
        <bgColor indexed="64"/>
      </patternFill>
    </fill>
    <fill>
      <patternFill patternType="solid">
        <fgColor indexed="9"/>
        <bgColor indexed="64"/>
      </patternFill>
    </fill>
    <fill>
      <patternFill patternType="solid">
        <fgColor rgb="FFFFC000"/>
        <bgColor indexed="64"/>
      </patternFill>
    </fill>
  </fills>
  <borders count="16">
    <border>
      <left/>
      <right/>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bottom style="thin">
        <color auto="1"/>
      </bottom>
      <diagonal/>
    </border>
    <border>
      <left/>
      <right/>
      <top style="thin">
        <color auto="1"/>
      </top>
      <bottom style="double">
        <color indexed="64"/>
      </bottom>
      <diagonal/>
    </border>
    <border>
      <left/>
      <right/>
      <top/>
      <bottom style="double">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168" fontId="16" fillId="0" borderId="0" applyFont="0" applyFill="0" applyBorder="0" applyAlignment="0" applyProtection="0"/>
    <xf numFmtId="0" fontId="16" fillId="0" borderId="0"/>
    <xf numFmtId="43" fontId="16" fillId="0" borderId="0" applyFont="0" applyFill="0" applyBorder="0" applyAlignment="0" applyProtection="0"/>
    <xf numFmtId="0" fontId="27" fillId="0" borderId="0"/>
    <xf numFmtId="168" fontId="27" fillId="0" borderId="0" applyFont="0" applyFill="0" applyBorder="0" applyAlignment="0" applyProtection="0"/>
    <xf numFmtId="175" fontId="16" fillId="0" borderId="0" applyFont="0" applyFill="0" applyBorder="0" applyAlignment="0" applyProtection="0"/>
    <xf numFmtId="43" fontId="16" fillId="0" borderId="0" applyFont="0" applyFill="0" applyBorder="0" applyAlignment="0" applyProtection="0"/>
    <xf numFmtId="0" fontId="27" fillId="0" borderId="0"/>
  </cellStyleXfs>
  <cellXfs count="736">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3" fontId="0" fillId="0" borderId="0" xfId="0" applyNumberFormat="1"/>
    <xf numFmtId="3" fontId="4" fillId="0" borderId="0" xfId="0" applyNumberFormat="1" applyFont="1" applyAlignment="1">
      <alignment horizontal="right" vertical="center" wrapText="1"/>
    </xf>
    <xf numFmtId="3" fontId="4" fillId="0" borderId="0" xfId="0" applyNumberFormat="1" applyFont="1" applyAlignment="1">
      <alignment horizontal="right" vertical="center"/>
    </xf>
    <xf numFmtId="0" fontId="4" fillId="0" borderId="1" xfId="0" applyFont="1" applyBorder="1" applyAlignment="1">
      <alignment horizontal="righ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3" fontId="4" fillId="0" borderId="1" xfId="0" applyNumberFormat="1" applyFont="1" applyBorder="1" applyAlignment="1">
      <alignment horizontal="right" vertical="center"/>
    </xf>
    <xf numFmtId="0" fontId="3" fillId="0" borderId="0" xfId="0" applyFont="1"/>
    <xf numFmtId="3" fontId="4" fillId="0" borderId="0" xfId="0" applyNumberFormat="1" applyFont="1" applyFill="1" applyBorder="1" applyAlignment="1">
      <alignment horizontal="right" vertical="center"/>
    </xf>
    <xf numFmtId="0" fontId="5" fillId="0" borderId="0" xfId="0" applyFont="1" applyBorder="1" applyAlignment="1">
      <alignment horizontal="center" vertical="center"/>
    </xf>
    <xf numFmtId="0" fontId="7" fillId="0" borderId="0" xfId="0" applyFont="1"/>
    <xf numFmtId="0" fontId="4" fillId="0" borderId="0" xfId="0" applyFont="1" applyAlignment="1">
      <alignment horizontal="right" vertical="center"/>
    </xf>
    <xf numFmtId="0" fontId="0" fillId="0" borderId="0" xfId="0" applyAlignment="1">
      <alignment wrapText="1"/>
    </xf>
    <xf numFmtId="0" fontId="7"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4" fillId="0" borderId="0" xfId="0" applyFont="1" applyAlignment="1">
      <alignment vertical="center" wrapText="1"/>
    </xf>
    <xf numFmtId="10" fontId="0" fillId="0" borderId="0" xfId="0" applyNumberFormat="1"/>
    <xf numFmtId="2" fontId="4" fillId="0" borderId="1" xfId="0" applyNumberFormat="1" applyFont="1" applyBorder="1" applyAlignment="1">
      <alignment horizontal="right" vertical="center"/>
    </xf>
    <xf numFmtId="0" fontId="4" fillId="0" borderId="0" xfId="0" applyFont="1" applyAlignment="1">
      <alignment horizontal="right" vertical="center" wrapText="1"/>
    </xf>
    <xf numFmtId="0" fontId="8" fillId="0" borderId="0" xfId="0" applyFont="1" applyAlignment="1">
      <alignment vertical="center"/>
    </xf>
    <xf numFmtId="0" fontId="6"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right" vertical="center" wrapText="1"/>
    </xf>
    <xf numFmtId="0" fontId="11" fillId="0" borderId="0" xfId="0" applyFont="1" applyAlignment="1">
      <alignment vertical="center"/>
    </xf>
    <xf numFmtId="0" fontId="11" fillId="0" borderId="0" xfId="0" applyFont="1" applyAlignment="1">
      <alignment horizontal="right" vertical="center" wrapText="1"/>
    </xf>
    <xf numFmtId="0" fontId="4" fillId="0" borderId="0" xfId="0" applyFont="1" applyAlignment="1">
      <alignment horizontal="left" vertical="center" indent="1"/>
    </xf>
    <xf numFmtId="3" fontId="4" fillId="0" borderId="1"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3" fontId="13" fillId="0" borderId="0" xfId="0" applyNumberFormat="1" applyFont="1" applyAlignment="1">
      <alignment horizontal="right" vertical="center"/>
    </xf>
    <xf numFmtId="0" fontId="3" fillId="0" borderId="0" xfId="0" applyFont="1" applyAlignment="1">
      <alignment vertical="top"/>
    </xf>
    <xf numFmtId="3" fontId="13" fillId="0" borderId="3" xfId="0" applyNumberFormat="1" applyFont="1" applyBorder="1" applyAlignment="1">
      <alignment horizontal="right" vertical="center"/>
    </xf>
    <xf numFmtId="164" fontId="13" fillId="0" borderId="0" xfId="0" applyNumberFormat="1" applyFont="1" applyAlignment="1">
      <alignment horizontal="center" vertical="center"/>
    </xf>
    <xf numFmtId="0" fontId="2" fillId="0" borderId="0" xfId="0" applyFont="1" applyAlignment="1">
      <alignment horizontal="left" vertical="center" indent="6"/>
    </xf>
    <xf numFmtId="0" fontId="13" fillId="0" borderId="0" xfId="0" applyFont="1" applyAlignment="1">
      <alignment horizontal="right" vertical="center" wrapText="1"/>
    </xf>
    <xf numFmtId="0" fontId="12" fillId="0" borderId="0" xfId="0" applyFont="1" applyAlignment="1">
      <alignment horizontal="right" vertical="center" wrapText="1"/>
    </xf>
    <xf numFmtId="3" fontId="13" fillId="0" borderId="0" xfId="0" applyNumberFormat="1" applyFont="1" applyAlignment="1">
      <alignment horizontal="right" vertical="center" wrapText="1"/>
    </xf>
    <xf numFmtId="3" fontId="9" fillId="0" borderId="0" xfId="0" applyNumberFormat="1" applyFont="1" applyAlignment="1">
      <alignment horizontal="right" vertical="center" wrapText="1"/>
    </xf>
    <xf numFmtId="3" fontId="9" fillId="0" borderId="4" xfId="0" applyNumberFormat="1" applyFont="1" applyBorder="1" applyAlignment="1">
      <alignment horizontal="right" vertical="center" wrapText="1"/>
    </xf>
    <xf numFmtId="3" fontId="13" fillId="0" borderId="4" xfId="0" applyNumberFormat="1" applyFont="1" applyBorder="1" applyAlignment="1">
      <alignment horizontal="right" vertical="center" wrapText="1"/>
    </xf>
    <xf numFmtId="0" fontId="0" fillId="0" borderId="0" xfId="0" applyAlignment="1"/>
    <xf numFmtId="0" fontId="13" fillId="0" borderId="5" xfId="0" applyFont="1" applyBorder="1" applyAlignment="1">
      <alignment horizontal="right" vertical="center" wrapText="1"/>
    </xf>
    <xf numFmtId="0" fontId="5" fillId="0" borderId="0" xfId="0" applyFont="1" applyAlignment="1">
      <alignment horizontal="righ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2" fillId="0" borderId="0" xfId="0" applyFont="1"/>
    <xf numFmtId="0" fontId="4" fillId="0" borderId="0" xfId="0" applyFont="1"/>
    <xf numFmtId="0" fontId="14" fillId="0" borderId="0" xfId="0" applyFont="1" applyAlignment="1">
      <alignment horizontal="left" vertical="center" indent="6"/>
    </xf>
    <xf numFmtId="0" fontId="5" fillId="0" borderId="1" xfId="0" applyFont="1" applyBorder="1" applyAlignment="1">
      <alignment horizontal="right" vertical="center"/>
    </xf>
    <xf numFmtId="3" fontId="4" fillId="0" borderId="5"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3" xfId="0" applyNumberFormat="1" applyFont="1" applyBorder="1" applyAlignment="1">
      <alignment horizontal="right" vertical="center" wrapText="1"/>
    </xf>
    <xf numFmtId="3" fontId="6" fillId="0" borderId="3" xfId="0" applyNumberFormat="1" applyFont="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right" vertical="center"/>
    </xf>
    <xf numFmtId="3" fontId="6" fillId="0" borderId="0" xfId="0" applyNumberFormat="1" applyFont="1" applyAlignment="1">
      <alignment horizontal="right" vertical="center" wrapText="1"/>
    </xf>
    <xf numFmtId="3" fontId="6" fillId="0" borderId="0" xfId="0" applyNumberFormat="1" applyFont="1" applyAlignment="1">
      <alignment horizontal="right" vertical="center"/>
    </xf>
    <xf numFmtId="3" fontId="6" fillId="0" borderId="3" xfId="0" applyNumberFormat="1" applyFont="1" applyBorder="1" applyAlignment="1">
      <alignment horizontal="right" vertical="center" wrapText="1"/>
    </xf>
    <xf numFmtId="3"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wrapText="1"/>
    </xf>
    <xf numFmtId="0" fontId="15" fillId="0" borderId="0" xfId="0" applyFont="1" applyAlignment="1">
      <alignment vertical="center"/>
    </xf>
    <xf numFmtId="3" fontId="11" fillId="0" borderId="0" xfId="0" applyNumberFormat="1" applyFont="1" applyAlignment="1">
      <alignment horizontal="right" vertical="center"/>
    </xf>
    <xf numFmtId="3" fontId="11" fillId="0" borderId="3" xfId="0" applyNumberFormat="1" applyFont="1" applyBorder="1" applyAlignment="1">
      <alignment horizontal="right" vertical="center"/>
    </xf>
    <xf numFmtId="9" fontId="6" fillId="0" borderId="0" xfId="0" applyNumberFormat="1" applyFont="1" applyAlignment="1">
      <alignment horizontal="right" vertical="center"/>
    </xf>
    <xf numFmtId="9" fontId="6" fillId="0" borderId="0" xfId="0" applyNumberFormat="1" applyFont="1" applyAlignment="1">
      <alignment horizontal="right" vertical="center" wrapText="1"/>
    </xf>
    <xf numFmtId="0" fontId="0" fillId="0" borderId="0" xfId="0" applyAlignment="1">
      <alignment horizontal="left"/>
    </xf>
    <xf numFmtId="9" fontId="6" fillId="0" borderId="1" xfId="0" applyNumberFormat="1" applyFont="1" applyBorder="1" applyAlignment="1">
      <alignment horizontal="right" vertical="center"/>
    </xf>
    <xf numFmtId="0" fontId="2" fillId="0" borderId="0" xfId="0" applyFont="1" applyAlignment="1">
      <alignment horizontal="left" vertical="center" indent="3"/>
    </xf>
    <xf numFmtId="0" fontId="4" fillId="0" borderId="1" xfId="0" applyFont="1" applyBorder="1" applyAlignment="1">
      <alignment horizontal="right" vertical="center" wrapText="1"/>
    </xf>
    <xf numFmtId="3" fontId="4" fillId="0" borderId="5" xfId="0" applyNumberFormat="1" applyFont="1" applyBorder="1" applyAlignment="1">
      <alignment horizontal="right" vertical="center" wrapText="1"/>
    </xf>
    <xf numFmtId="0" fontId="4" fillId="0" borderId="5" xfId="0" applyFont="1" applyBorder="1" applyAlignment="1">
      <alignment horizontal="right" vertical="center"/>
    </xf>
    <xf numFmtId="0" fontId="4" fillId="0" borderId="4" xfId="0" applyFont="1" applyBorder="1" applyAlignment="1">
      <alignment horizontal="right" vertical="center" wrapText="1"/>
    </xf>
    <xf numFmtId="0" fontId="4" fillId="0" borderId="4" xfId="0" applyFont="1" applyBorder="1" applyAlignment="1">
      <alignment horizontal="right" vertical="center"/>
    </xf>
    <xf numFmtId="4" fontId="0" fillId="0" borderId="0" xfId="0" applyNumberFormat="1"/>
    <xf numFmtId="0" fontId="18" fillId="0" borderId="0" xfId="0" applyFont="1" applyFill="1" applyAlignment="1"/>
    <xf numFmtId="0" fontId="2" fillId="0" borderId="0" xfId="0" applyFont="1" applyFill="1"/>
    <xf numFmtId="0" fontId="20" fillId="0" borderId="0" xfId="0" applyFont="1" applyAlignment="1">
      <alignment vertical="center"/>
    </xf>
    <xf numFmtId="0" fontId="17" fillId="0" borderId="0" xfId="0" applyFont="1"/>
    <xf numFmtId="166" fontId="4" fillId="0" borderId="0" xfId="0" applyNumberFormat="1" applyFont="1" applyAlignment="1">
      <alignment horizontal="right" vertical="center"/>
    </xf>
    <xf numFmtId="3" fontId="4" fillId="0" borderId="0" xfId="0" applyNumberFormat="1" applyFont="1" applyAlignment="1">
      <alignment horizontal="center" vertical="center"/>
    </xf>
    <xf numFmtId="3" fontId="0" fillId="0" borderId="0" xfId="0" applyNumberFormat="1" applyAlignment="1">
      <alignment horizontal="right"/>
    </xf>
    <xf numFmtId="0" fontId="0" fillId="2" borderId="0" xfId="0" applyFill="1"/>
    <xf numFmtId="0" fontId="0" fillId="3" borderId="0" xfId="0" applyFill="1"/>
    <xf numFmtId="0" fontId="4" fillId="0" borderId="0" xfId="0" applyFont="1" applyAlignment="1">
      <alignment vertical="center"/>
    </xf>
    <xf numFmtId="0" fontId="7" fillId="0" borderId="0" xfId="0" applyFont="1" applyAlignment="1">
      <alignment vertical="center"/>
    </xf>
    <xf numFmtId="164" fontId="0" fillId="0" borderId="0" xfId="0" applyNumberFormat="1"/>
    <xf numFmtId="164" fontId="7" fillId="0" borderId="0" xfId="0" applyNumberFormat="1" applyFont="1" applyAlignment="1">
      <alignment vertical="center"/>
    </xf>
    <xf numFmtId="0" fontId="0" fillId="0" borderId="0" xfId="0" applyAlignment="1">
      <alignment horizontal="right"/>
    </xf>
    <xf numFmtId="0" fontId="17" fillId="2" borderId="0" xfId="0" applyFont="1" applyFill="1"/>
    <xf numFmtId="3" fontId="0" fillId="0" borderId="0" xfId="0" applyNumberFormat="1" applyFont="1"/>
    <xf numFmtId="0" fontId="9" fillId="0" borderId="0" xfId="0" applyFont="1" applyAlignment="1">
      <alignment horizontal="right" vertical="top"/>
    </xf>
    <xf numFmtId="14" fontId="21" fillId="0" borderId="0" xfId="0" applyNumberFormat="1" applyFont="1" applyAlignment="1">
      <alignment horizontal="left" vertical="top"/>
    </xf>
    <xf numFmtId="169" fontId="21" fillId="0" borderId="0" xfId="0" applyNumberFormat="1" applyFont="1" applyAlignment="1">
      <alignment horizontal="right" vertical="top"/>
    </xf>
    <xf numFmtId="14" fontId="21" fillId="2" borderId="0" xfId="0" applyNumberFormat="1" applyFont="1" applyFill="1" applyAlignment="1">
      <alignment horizontal="left" vertical="top"/>
    </xf>
    <xf numFmtId="169" fontId="21" fillId="2" borderId="0" xfId="0" applyNumberFormat="1" applyFont="1" applyFill="1" applyAlignment="1">
      <alignment horizontal="right" vertical="top"/>
    </xf>
    <xf numFmtId="14" fontId="21" fillId="4" borderId="0" xfId="0" applyNumberFormat="1" applyFont="1" applyFill="1" applyAlignment="1">
      <alignment horizontal="left" vertical="top"/>
    </xf>
    <xf numFmtId="0" fontId="0" fillId="4" borderId="0" xfId="0" applyFill="1"/>
    <xf numFmtId="169" fontId="21" fillId="4" borderId="0" xfId="0" applyNumberFormat="1" applyFont="1" applyFill="1" applyAlignment="1">
      <alignment horizontal="right" vertical="top"/>
    </xf>
    <xf numFmtId="0" fontId="5" fillId="0" borderId="0" xfId="0" applyFont="1" applyAlignment="1">
      <alignment horizontal="right" vertical="center"/>
    </xf>
    <xf numFmtId="3" fontId="6" fillId="0" borderId="0" xfId="0" applyNumberFormat="1" applyFont="1" applyFill="1" applyAlignment="1">
      <alignment horizontal="right" vertical="center" wrapText="1"/>
    </xf>
    <xf numFmtId="0" fontId="6" fillId="0" borderId="0" xfId="0" applyFont="1" applyFill="1" applyAlignment="1">
      <alignment vertical="center"/>
    </xf>
    <xf numFmtId="3" fontId="4" fillId="0" borderId="0" xfId="0" applyNumberFormat="1" applyFont="1" applyFill="1" applyAlignment="1">
      <alignment horizontal="right"/>
    </xf>
    <xf numFmtId="0" fontId="6" fillId="0" borderId="0" xfId="0" applyFont="1" applyFill="1" applyAlignment="1">
      <alignment horizontal="right" vertical="center" wrapText="1"/>
    </xf>
    <xf numFmtId="0" fontId="0" fillId="0" borderId="0" xfId="0" applyFill="1"/>
    <xf numFmtId="0" fontId="7" fillId="0" borderId="0" xfId="0" applyFont="1" applyFill="1"/>
    <xf numFmtId="0" fontId="4" fillId="0" borderId="0" xfId="0" applyFont="1" applyFill="1" applyBorder="1" applyAlignment="1">
      <alignment horizontal="right" vertical="center"/>
    </xf>
    <xf numFmtId="3" fontId="13" fillId="0" borderId="0" xfId="0" applyNumberFormat="1" applyFont="1" applyFill="1" applyAlignment="1">
      <alignment horizontal="right" vertical="center"/>
    </xf>
    <xf numFmtId="0" fontId="12" fillId="0" borderId="0" xfId="0" applyFont="1" applyFill="1" applyAlignment="1">
      <alignment horizontal="right" vertical="center" wrapText="1"/>
    </xf>
    <xf numFmtId="3" fontId="9" fillId="0" borderId="0" xfId="0" applyNumberFormat="1" applyFont="1" applyFill="1" applyAlignment="1">
      <alignment horizontal="right" vertical="center" wrapText="1"/>
    </xf>
    <xf numFmtId="3" fontId="6" fillId="0" borderId="0" xfId="0" applyNumberFormat="1" applyFont="1" applyBorder="1" applyAlignment="1">
      <alignment horizontal="right" vertical="center"/>
    </xf>
    <xf numFmtId="3" fontId="24" fillId="0" borderId="0" xfId="0" applyNumberFormat="1" applyFont="1"/>
    <xf numFmtId="3" fontId="4" fillId="0" borderId="4" xfId="0" applyNumberFormat="1" applyFont="1" applyBorder="1" applyAlignment="1">
      <alignment horizontal="right" vertical="center" wrapText="1"/>
    </xf>
    <xf numFmtId="0" fontId="6" fillId="0" borderId="0" xfId="0" applyFont="1" applyBorder="1" applyAlignment="1">
      <alignment horizontal="right" vertical="center"/>
    </xf>
    <xf numFmtId="166" fontId="0" fillId="0" borderId="0" xfId="0" applyNumberFormat="1"/>
    <xf numFmtId="4" fontId="0" fillId="0" borderId="6" xfId="0" applyNumberFormat="1" applyBorder="1"/>
    <xf numFmtId="4" fontId="0" fillId="0" borderId="0" xfId="0" applyNumberFormat="1" applyFont="1"/>
    <xf numFmtId="4" fontId="24" fillId="0" borderId="0" xfId="0" applyNumberFormat="1" applyFont="1"/>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vertical="center"/>
    </xf>
    <xf numFmtId="3" fontId="0" fillId="0" borderId="0" xfId="0" applyNumberFormat="1" applyFill="1"/>
    <xf numFmtId="0" fontId="0" fillId="0" borderId="0" xfId="0" applyBorder="1"/>
    <xf numFmtId="14" fontId="25" fillId="0" borderId="1" xfId="0" applyNumberFormat="1" applyFont="1" applyFill="1" applyBorder="1" applyAlignment="1">
      <alignment horizontal="right"/>
    </xf>
    <xf numFmtId="4" fontId="0" fillId="2" borderId="0" xfId="0" applyNumberFormat="1" applyFill="1"/>
    <xf numFmtId="0" fontId="5" fillId="0" borderId="1" xfId="0" applyFont="1" applyBorder="1" applyAlignment="1">
      <alignment horizontal="center" vertical="center"/>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vertical="center"/>
    </xf>
    <xf numFmtId="3" fontId="4" fillId="0" borderId="6" xfId="0" applyNumberFormat="1" applyFont="1" applyFill="1" applyBorder="1" applyAlignment="1">
      <alignment horizontal="right" vertical="center"/>
    </xf>
    <xf numFmtId="166" fontId="13" fillId="0" borderId="0" xfId="0" applyNumberFormat="1" applyFont="1" applyFill="1" applyAlignment="1">
      <alignment horizontal="right" vertical="center"/>
    </xf>
    <xf numFmtId="170" fontId="0" fillId="0" borderId="0" xfId="0" applyNumberFormat="1"/>
    <xf numFmtId="0" fontId="17" fillId="5" borderId="0" xfId="0" applyFont="1" applyFill="1"/>
    <xf numFmtId="3" fontId="17" fillId="5" borderId="0" xfId="0" applyNumberFormat="1" applyFont="1" applyFill="1"/>
    <xf numFmtId="166" fontId="4" fillId="0" borderId="1" xfId="0" applyNumberFormat="1" applyFont="1" applyBorder="1" applyAlignment="1">
      <alignment horizontal="right" vertical="center" wrapText="1"/>
    </xf>
    <xf numFmtId="166" fontId="6" fillId="0" borderId="0" xfId="0" applyNumberFormat="1" applyFont="1" applyAlignment="1">
      <alignment horizontal="right" vertical="center" wrapText="1"/>
    </xf>
    <xf numFmtId="166" fontId="6" fillId="0" borderId="1" xfId="0" applyNumberFormat="1" applyFont="1" applyBorder="1" applyAlignment="1">
      <alignment horizontal="right" vertical="center" wrapText="1"/>
    </xf>
    <xf numFmtId="166" fontId="6" fillId="0" borderId="3" xfId="0" applyNumberFormat="1" applyFont="1" applyBorder="1" applyAlignment="1">
      <alignment horizontal="right" vertical="center" wrapText="1"/>
    </xf>
    <xf numFmtId="14" fontId="21" fillId="6" borderId="0" xfId="0" applyNumberFormat="1" applyFont="1" applyFill="1" applyAlignment="1">
      <alignment horizontal="left" vertical="top"/>
    </xf>
    <xf numFmtId="0" fontId="0" fillId="6" borderId="0" xfId="0" applyFill="1"/>
    <xf numFmtId="169" fontId="21" fillId="6" borderId="0" xfId="0" applyNumberFormat="1" applyFont="1" applyFill="1" applyAlignment="1">
      <alignment horizontal="right" vertical="top"/>
    </xf>
    <xf numFmtId="0" fontId="0" fillId="7" borderId="0" xfId="0" applyFill="1"/>
    <xf numFmtId="3" fontId="6" fillId="0" borderId="0" xfId="0" applyNumberFormat="1" applyFont="1" applyBorder="1" applyAlignment="1">
      <alignment horizontal="right" vertical="center" wrapText="1"/>
    </xf>
    <xf numFmtId="166" fontId="17" fillId="0" borderId="0" xfId="0" applyNumberFormat="1" applyFont="1"/>
    <xf numFmtId="3" fontId="6" fillId="0" borderId="6" xfId="0" applyNumberFormat="1" applyFont="1" applyFill="1" applyBorder="1" applyAlignment="1">
      <alignment horizontal="right" vertical="center" wrapText="1"/>
    </xf>
    <xf numFmtId="166" fontId="4" fillId="0" borderId="3" xfId="0" applyNumberFormat="1" applyFont="1" applyBorder="1" applyAlignment="1">
      <alignment horizontal="right" vertical="center" wrapText="1"/>
    </xf>
    <xf numFmtId="0" fontId="0" fillId="8" borderId="0" xfId="0" applyFill="1"/>
    <xf numFmtId="166" fontId="6" fillId="0" borderId="1" xfId="0" applyNumberFormat="1" applyFont="1" applyBorder="1" applyAlignment="1">
      <alignment horizontal="right" vertical="center"/>
    </xf>
    <xf numFmtId="3" fontId="11" fillId="0" borderId="0" xfId="0" applyNumberFormat="1" applyFont="1" applyBorder="1" applyAlignment="1">
      <alignment horizontal="right" vertical="center"/>
    </xf>
    <xf numFmtId="3" fontId="17" fillId="0" borderId="0" xfId="0" applyNumberFormat="1" applyFont="1"/>
    <xf numFmtId="3" fontId="3" fillId="0" borderId="0" xfId="0" applyNumberFormat="1" applyFont="1"/>
    <xf numFmtId="3" fontId="6" fillId="0" borderId="6" xfId="0" applyNumberFormat="1" applyFont="1" applyBorder="1" applyAlignment="1">
      <alignment horizontal="right" vertical="center" wrapText="1"/>
    </xf>
    <xf numFmtId="166" fontId="11" fillId="0" borderId="3" xfId="0" applyNumberFormat="1" applyFont="1" applyBorder="1" applyAlignment="1">
      <alignment horizontal="right" vertical="center" wrapText="1"/>
    </xf>
    <xf numFmtId="171" fontId="9" fillId="0" borderId="0" xfId="0" applyNumberFormat="1" applyFont="1" applyAlignment="1">
      <alignment horizontal="right" vertical="top"/>
    </xf>
    <xf numFmtId="4" fontId="0" fillId="10" borderId="0" xfId="0" applyNumberFormat="1" applyFill="1"/>
    <xf numFmtId="0" fontId="11" fillId="2" borderId="0" xfId="0" applyFont="1" applyFill="1" applyAlignment="1">
      <alignment vertical="center"/>
    </xf>
    <xf numFmtId="4" fontId="17" fillId="2" borderId="0" xfId="0" applyNumberFormat="1" applyFont="1" applyFill="1"/>
    <xf numFmtId="3" fontId="5" fillId="0" borderId="4" xfId="0" applyNumberFormat="1" applyFont="1" applyBorder="1" applyAlignment="1">
      <alignment horizontal="right" vertical="center"/>
    </xf>
    <xf numFmtId="3" fontId="5" fillId="0" borderId="4" xfId="0" applyNumberFormat="1" applyFont="1" applyBorder="1" applyAlignment="1">
      <alignment horizontal="right" vertical="center" wrapText="1"/>
    </xf>
    <xf numFmtId="0" fontId="22" fillId="0" borderId="0" xfId="4" applyFont="1"/>
    <xf numFmtId="0" fontId="22" fillId="0" borderId="6" xfId="4" applyFont="1" applyBorder="1" applyAlignment="1">
      <alignment horizontal="right"/>
    </xf>
    <xf numFmtId="0" fontId="22" fillId="0" borderId="6" xfId="4" applyFont="1" applyFill="1" applyBorder="1" applyAlignment="1">
      <alignment horizontal="right"/>
    </xf>
    <xf numFmtId="0" fontId="21" fillId="0" borderId="0" xfId="4" applyFont="1"/>
    <xf numFmtId="0" fontId="21" fillId="0" borderId="0" xfId="4" applyFont="1" applyAlignment="1"/>
    <xf numFmtId="167" fontId="21" fillId="0" borderId="0" xfId="4" applyNumberFormat="1" applyFont="1" applyFill="1" applyBorder="1" applyAlignment="1">
      <alignment horizontal="right"/>
    </xf>
    <xf numFmtId="173" fontId="21" fillId="0" borderId="0" xfId="5" applyNumberFormat="1" applyFont="1" applyBorder="1" applyAlignment="1">
      <alignment horizontal="right"/>
    </xf>
    <xf numFmtId="167" fontId="21" fillId="0" borderId="0" xfId="5" applyNumberFormat="1" applyFont="1" applyFill="1" applyAlignment="1">
      <alignment horizontal="right"/>
    </xf>
    <xf numFmtId="9" fontId="21" fillId="0" borderId="0" xfId="4" applyNumberFormat="1" applyFont="1" applyFill="1" applyAlignment="1"/>
    <xf numFmtId="173" fontId="21" fillId="0" borderId="6" xfId="5" applyNumberFormat="1" applyFont="1" applyBorder="1" applyAlignment="1">
      <alignment horizontal="right"/>
    </xf>
    <xf numFmtId="167" fontId="21" fillId="0" borderId="6" xfId="5" applyNumberFormat="1" applyFont="1" applyFill="1" applyBorder="1" applyAlignment="1">
      <alignment horizontal="right"/>
    </xf>
    <xf numFmtId="0" fontId="22" fillId="0" borderId="0" xfId="4" applyFont="1" applyAlignment="1"/>
    <xf numFmtId="173" fontId="22" fillId="0" borderId="0" xfId="5" applyNumberFormat="1" applyFont="1" applyFill="1" applyAlignment="1">
      <alignment horizontal="right"/>
    </xf>
    <xf numFmtId="167" fontId="22" fillId="0" borderId="0" xfId="5" applyNumberFormat="1" applyFont="1" applyFill="1" applyAlignment="1">
      <alignment horizontal="right"/>
    </xf>
    <xf numFmtId="0" fontId="21" fillId="0" borderId="0" xfId="4" applyFont="1" applyFill="1"/>
    <xf numFmtId="173" fontId="21" fillId="0" borderId="0" xfId="5" applyNumberFormat="1" applyFont="1" applyFill="1" applyBorder="1" applyAlignment="1">
      <alignment horizontal="right"/>
    </xf>
    <xf numFmtId="167" fontId="21" fillId="0" borderId="0" xfId="5" applyNumberFormat="1" applyFont="1" applyFill="1" applyBorder="1" applyAlignment="1">
      <alignment horizontal="right"/>
    </xf>
    <xf numFmtId="0" fontId="21" fillId="0" borderId="0" xfId="4" applyFont="1" applyFill="1" applyAlignment="1"/>
    <xf numFmtId="173" fontId="21" fillId="0" borderId="6" xfId="4" applyNumberFormat="1" applyFont="1" applyFill="1" applyBorder="1" applyAlignment="1">
      <alignment horizontal="right"/>
    </xf>
    <xf numFmtId="173" fontId="21" fillId="0" borderId="6" xfId="5" applyNumberFormat="1" applyFont="1" applyFill="1" applyBorder="1" applyAlignment="1">
      <alignment horizontal="right"/>
    </xf>
    <xf numFmtId="173" fontId="22" fillId="0" borderId="0" xfId="4" applyNumberFormat="1" applyFont="1" applyFill="1" applyBorder="1" applyAlignment="1">
      <alignment horizontal="right"/>
    </xf>
    <xf numFmtId="167" fontId="22" fillId="0" borderId="0" xfId="4" applyNumberFormat="1" applyFont="1" applyFill="1" applyBorder="1" applyAlignment="1">
      <alignment horizontal="right"/>
    </xf>
    <xf numFmtId="173" fontId="21" fillId="0" borderId="0" xfId="5" applyNumberFormat="1" applyFont="1" applyFill="1" applyAlignment="1">
      <alignment horizontal="right"/>
    </xf>
    <xf numFmtId="173" fontId="22" fillId="0" borderId="15" xfId="5" applyNumberFormat="1" applyFont="1" applyFill="1" applyBorder="1" applyAlignment="1">
      <alignment horizontal="right"/>
    </xf>
    <xf numFmtId="167" fontId="22" fillId="0" borderId="15" xfId="5" applyNumberFormat="1" applyFont="1" applyFill="1" applyBorder="1" applyAlignment="1">
      <alignment horizontal="right"/>
    </xf>
    <xf numFmtId="173" fontId="28" fillId="0" borderId="0" xfId="5" applyNumberFormat="1" applyFont="1" applyBorder="1" applyAlignment="1">
      <alignment horizontal="right"/>
    </xf>
    <xf numFmtId="173" fontId="28" fillId="0" borderId="0" xfId="4" applyNumberFormat="1" applyFont="1" applyBorder="1" applyAlignment="1">
      <alignment horizontal="right"/>
    </xf>
    <xf numFmtId="167" fontId="21" fillId="0" borderId="0" xfId="5" applyNumberFormat="1" applyFont="1" applyBorder="1" applyAlignment="1">
      <alignment horizontal="right"/>
    </xf>
    <xf numFmtId="167" fontId="22" fillId="0" borderId="3" xfId="4" applyNumberFormat="1" applyFont="1" applyFill="1" applyBorder="1" applyAlignment="1">
      <alignment horizontal="right"/>
    </xf>
    <xf numFmtId="0" fontId="22" fillId="0" borderId="0" xfId="4" applyFont="1" applyBorder="1" applyAlignment="1">
      <alignment horizontal="right"/>
    </xf>
    <xf numFmtId="0" fontId="22" fillId="0" borderId="0" xfId="4" applyFont="1" applyFill="1" applyBorder="1" applyAlignment="1">
      <alignment horizontal="right"/>
    </xf>
    <xf numFmtId="167" fontId="21" fillId="0" borderId="0" xfId="4" applyNumberFormat="1" applyFont="1" applyBorder="1"/>
    <xf numFmtId="173" fontId="22" fillId="0" borderId="0" xfId="5" applyNumberFormat="1" applyFont="1" applyFill="1" applyBorder="1" applyAlignment="1">
      <alignment horizontal="right"/>
    </xf>
    <xf numFmtId="167" fontId="22" fillId="0" borderId="0" xfId="5" applyNumberFormat="1" applyFont="1" applyFill="1" applyBorder="1" applyAlignment="1">
      <alignment horizontal="right"/>
    </xf>
    <xf numFmtId="3" fontId="17" fillId="2" borderId="0" xfId="0" applyNumberFormat="1" applyFont="1" applyFill="1"/>
    <xf numFmtId="0" fontId="22" fillId="0" borderId="0" xfId="4" applyFont="1" applyFill="1" applyAlignment="1"/>
    <xf numFmtId="0" fontId="22" fillId="0" borderId="0" xfId="4" applyFont="1" applyFill="1"/>
    <xf numFmtId="0" fontId="22" fillId="0" borderId="0" xfId="4" applyFont="1" applyAlignment="1">
      <alignment horizontal="right"/>
    </xf>
    <xf numFmtId="0" fontId="21" fillId="0" borderId="0" xfId="4" applyFont="1" applyBorder="1" applyAlignment="1">
      <alignment horizontal="right"/>
    </xf>
    <xf numFmtId="173" fontId="21" fillId="0" borderId="0" xfId="4" applyNumberFormat="1" applyFont="1" applyBorder="1" applyAlignment="1">
      <alignment horizontal="right"/>
    </xf>
    <xf numFmtId="0" fontId="28" fillId="0" borderId="0" xfId="4" applyFont="1"/>
    <xf numFmtId="173" fontId="21" fillId="0" borderId="0" xfId="4" applyNumberFormat="1" applyFont="1"/>
    <xf numFmtId="173" fontId="21" fillId="0" borderId="0" xfId="4" applyNumberFormat="1" applyFont="1" applyBorder="1"/>
    <xf numFmtId="173" fontId="21" fillId="0" borderId="6" xfId="4" applyNumberFormat="1" applyFont="1" applyBorder="1"/>
    <xf numFmtId="167" fontId="22" fillId="0" borderId="6" xfId="5" applyNumberFormat="1" applyFont="1" applyFill="1" applyBorder="1" applyAlignment="1">
      <alignment horizontal="right"/>
    </xf>
    <xf numFmtId="173" fontId="22" fillId="0" borderId="0" xfId="4" applyNumberFormat="1" applyFont="1" applyBorder="1"/>
    <xf numFmtId="173" fontId="22" fillId="0" borderId="3" xfId="4" applyNumberFormat="1" applyFont="1" applyBorder="1"/>
    <xf numFmtId="167" fontId="22" fillId="0" borderId="3" xfId="5" applyNumberFormat="1" applyFont="1" applyFill="1" applyBorder="1" applyAlignment="1">
      <alignment horizontal="right"/>
    </xf>
    <xf numFmtId="3" fontId="28" fillId="0" borderId="0" xfId="4" applyNumberFormat="1" applyFont="1" applyBorder="1"/>
    <xf numFmtId="174" fontId="28" fillId="0" borderId="0" xfId="4" applyNumberFormat="1" applyFont="1" applyBorder="1"/>
    <xf numFmtId="37" fontId="28" fillId="0" borderId="0" xfId="4" applyNumberFormat="1" applyFont="1" applyFill="1" applyBorder="1"/>
    <xf numFmtId="0" fontId="22" fillId="6" borderId="0" xfId="4" applyFont="1" applyFill="1"/>
    <xf numFmtId="174" fontId="22" fillId="0" borderId="0" xfId="4" applyNumberFormat="1" applyFont="1" applyFill="1" applyBorder="1"/>
    <xf numFmtId="37" fontId="22" fillId="0" borderId="0" xfId="4" applyNumberFormat="1" applyFont="1" applyFill="1" applyBorder="1"/>
    <xf numFmtId="3" fontId="21" fillId="0" borderId="0" xfId="4" applyNumberFormat="1" applyFont="1" applyBorder="1"/>
    <xf numFmtId="3" fontId="21" fillId="0" borderId="0" xfId="4" applyNumberFormat="1" applyFont="1" applyFill="1" applyBorder="1"/>
    <xf numFmtId="167" fontId="21" fillId="0" borderId="0" xfId="4" applyNumberFormat="1" applyFont="1" applyFill="1" applyBorder="1"/>
    <xf numFmtId="3" fontId="22" fillId="0" borderId="6" xfId="4" applyNumberFormat="1" applyFont="1" applyBorder="1" applyAlignment="1">
      <alignment horizontal="center"/>
    </xf>
    <xf numFmtId="0" fontId="22" fillId="0" borderId="6" xfId="4" applyFont="1" applyFill="1" applyBorder="1" applyAlignment="1">
      <alignment horizontal="center"/>
    </xf>
    <xf numFmtId="3" fontId="22" fillId="0" borderId="0" xfId="3" applyNumberFormat="1" applyFont="1" applyBorder="1" applyAlignment="1">
      <alignment horizontal="center"/>
    </xf>
    <xf numFmtId="3" fontId="21" fillId="0" borderId="0" xfId="3" applyNumberFormat="1" applyFont="1" applyFill="1" applyBorder="1"/>
    <xf numFmtId="3" fontId="2" fillId="0" borderId="0" xfId="3" applyNumberFormat="1" applyFont="1" applyFill="1"/>
    <xf numFmtId="173" fontId="21" fillId="0" borderId="0" xfId="4" applyNumberFormat="1" applyFont="1" applyFill="1" applyBorder="1"/>
    <xf numFmtId="173" fontId="13" fillId="0" borderId="0" xfId="4" applyNumberFormat="1" applyFont="1" applyFill="1" applyBorder="1"/>
    <xf numFmtId="0" fontId="21" fillId="0" borderId="0" xfId="4" applyFont="1" applyAlignment="1">
      <alignment wrapText="1"/>
    </xf>
    <xf numFmtId="173" fontId="21" fillId="0" borderId="6" xfId="4" applyNumberFormat="1" applyFont="1" applyFill="1" applyBorder="1"/>
    <xf numFmtId="173" fontId="13" fillId="0" borderId="6" xfId="4" applyNumberFormat="1" applyFont="1" applyFill="1" applyBorder="1"/>
    <xf numFmtId="3" fontId="21" fillId="0" borderId="0" xfId="4" applyNumberFormat="1" applyFont="1"/>
    <xf numFmtId="0" fontId="28" fillId="0" borderId="0" xfId="4" applyFont="1" applyAlignment="1">
      <alignment horizontal="right"/>
    </xf>
    <xf numFmtId="173" fontId="28" fillId="0" borderId="0" xfId="4" applyNumberFormat="1" applyFont="1" applyFill="1" applyBorder="1"/>
    <xf numFmtId="173" fontId="13" fillId="0" borderId="3" xfId="4" applyNumberFormat="1" applyFont="1" applyFill="1" applyBorder="1"/>
    <xf numFmtId="173" fontId="21" fillId="0" borderId="3" xfId="4" applyNumberFormat="1" applyFont="1" applyBorder="1"/>
    <xf numFmtId="0" fontId="22" fillId="11" borderId="0" xfId="4" applyFont="1" applyFill="1" applyAlignment="1"/>
    <xf numFmtId="0" fontId="21" fillId="11" borderId="0" xfId="4" applyFont="1" applyFill="1"/>
    <xf numFmtId="167" fontId="21" fillId="11" borderId="0" xfId="4" applyNumberFormat="1" applyFont="1" applyFill="1" applyBorder="1" applyAlignment="1">
      <alignment horizontal="right"/>
    </xf>
    <xf numFmtId="0" fontId="22" fillId="11" borderId="0" xfId="4" applyFont="1" applyFill="1"/>
    <xf numFmtId="3" fontId="22" fillId="11" borderId="0" xfId="4" applyNumberFormat="1" applyFont="1" applyFill="1" applyBorder="1"/>
    <xf numFmtId="3" fontId="21" fillId="11" borderId="0" xfId="4" applyNumberFormat="1" applyFont="1" applyFill="1" applyBorder="1"/>
    <xf numFmtId="3" fontId="22" fillId="0" borderId="6" xfId="4" applyNumberFormat="1" applyFont="1" applyFill="1" applyBorder="1" applyAlignment="1">
      <alignment horizontal="right"/>
    </xf>
    <xf numFmtId="3" fontId="22" fillId="0" borderId="6" xfId="4" applyNumberFormat="1" applyFont="1" applyFill="1" applyBorder="1" applyAlignment="1">
      <alignment horizontal="center"/>
    </xf>
    <xf numFmtId="167" fontId="22" fillId="0" borderId="6" xfId="4" applyNumberFormat="1" applyFont="1" applyFill="1" applyBorder="1" applyAlignment="1">
      <alignment horizontal="center"/>
    </xf>
    <xf numFmtId="3" fontId="21" fillId="0" borderId="0" xfId="4" applyNumberFormat="1" applyFont="1" applyFill="1" applyBorder="1" applyAlignment="1">
      <alignment horizontal="right"/>
    </xf>
    <xf numFmtId="3" fontId="21" fillId="0" borderId="0" xfId="4" applyNumberFormat="1" applyFont="1" applyBorder="1" applyAlignment="1">
      <alignment horizontal="right"/>
    </xf>
    <xf numFmtId="3" fontId="21" fillId="0" borderId="0" xfId="4" applyNumberFormat="1" applyFont="1" applyFill="1"/>
    <xf numFmtId="0" fontId="22" fillId="6" borderId="0" xfId="4" applyFont="1" applyFill="1" applyAlignment="1">
      <alignment horizontal="left"/>
    </xf>
    <xf numFmtId="37" fontId="21" fillId="0" borderId="0" xfId="4" applyNumberFormat="1" applyFont="1"/>
    <xf numFmtId="0" fontId="13" fillId="0" borderId="0" xfId="2" applyFont="1" applyFill="1"/>
    <xf numFmtId="0" fontId="22" fillId="0" borderId="0" xfId="4" applyFont="1" applyFill="1" applyAlignment="1">
      <alignment horizontal="right"/>
    </xf>
    <xf numFmtId="0" fontId="12" fillId="0" borderId="6" xfId="2" applyFont="1" applyFill="1" applyBorder="1" applyAlignment="1">
      <alignment horizontal="center"/>
    </xf>
    <xf numFmtId="0" fontId="12" fillId="0" borderId="0" xfId="2" applyFont="1" applyFill="1"/>
    <xf numFmtId="173" fontId="13" fillId="0" borderId="0" xfId="2" applyNumberFormat="1" applyFont="1" applyFill="1"/>
    <xf numFmtId="167" fontId="13" fillId="0" borderId="0" xfId="2" applyNumberFormat="1" applyFont="1" applyFill="1"/>
    <xf numFmtId="173" fontId="22" fillId="0" borderId="3" xfId="4" applyNumberFormat="1" applyFont="1" applyFill="1" applyBorder="1" applyAlignment="1">
      <alignment horizontal="right"/>
    </xf>
    <xf numFmtId="0" fontId="13" fillId="0" borderId="0" xfId="2" applyFont="1"/>
    <xf numFmtId="41" fontId="13" fillId="0" borderId="0" xfId="2" applyNumberFormat="1" applyFont="1"/>
    <xf numFmtId="0" fontId="10" fillId="0" borderId="0" xfId="2" applyFont="1" applyFill="1" applyAlignment="1"/>
    <xf numFmtId="44" fontId="13" fillId="0" borderId="0" xfId="6" applyNumberFormat="1" applyFont="1"/>
    <xf numFmtId="176" fontId="13" fillId="0" borderId="0" xfId="7" applyNumberFormat="1" applyFont="1"/>
    <xf numFmtId="0" fontId="10" fillId="0" borderId="6" xfId="2" applyFont="1" applyFill="1" applyBorder="1" applyAlignment="1">
      <alignment horizontal="right"/>
    </xf>
    <xf numFmtId="1" fontId="10" fillId="0" borderId="6" xfId="1" applyNumberFormat="1" applyFont="1" applyFill="1" applyBorder="1" applyAlignment="1">
      <alignment horizontal="right"/>
    </xf>
    <xf numFmtId="0" fontId="13" fillId="0" borderId="0" xfId="2" applyFont="1" applyFill="1" applyAlignment="1">
      <alignment wrapText="1"/>
    </xf>
    <xf numFmtId="167" fontId="13" fillId="0" borderId="0" xfId="2" applyNumberFormat="1" applyFont="1" applyFill="1" applyAlignment="1">
      <alignment wrapText="1"/>
    </xf>
    <xf numFmtId="167" fontId="21" fillId="0" borderId="0" xfId="1" applyNumberFormat="1" applyFont="1" applyFill="1"/>
    <xf numFmtId="0" fontId="9" fillId="0" borderId="0" xfId="2" applyFont="1" applyFill="1" applyAlignment="1">
      <alignment wrapText="1"/>
    </xf>
    <xf numFmtId="167" fontId="9" fillId="0" borderId="0" xfId="3" applyNumberFormat="1" applyFont="1" applyFill="1" applyAlignment="1">
      <alignment horizontal="right" wrapText="1"/>
    </xf>
    <xf numFmtId="173" fontId="13" fillId="0" borderId="0" xfId="3" applyNumberFormat="1" applyFont="1" applyFill="1"/>
    <xf numFmtId="167" fontId="9" fillId="0" borderId="0" xfId="3" applyNumberFormat="1" applyFont="1" applyFill="1" applyBorder="1" applyAlignment="1">
      <alignment wrapText="1"/>
    </xf>
    <xf numFmtId="167" fontId="9" fillId="0" borderId="6" xfId="3" applyNumberFormat="1" applyFont="1" applyFill="1" applyBorder="1" applyAlignment="1">
      <alignment horizontal="right" wrapText="1"/>
    </xf>
    <xf numFmtId="167" fontId="9" fillId="0" borderId="6" xfId="3" applyNumberFormat="1" applyFont="1" applyFill="1" applyBorder="1" applyAlignment="1">
      <alignment wrapText="1"/>
    </xf>
    <xf numFmtId="173" fontId="13" fillId="0" borderId="6" xfId="3" applyNumberFormat="1" applyFont="1" applyFill="1" applyBorder="1"/>
    <xf numFmtId="174" fontId="13" fillId="0" borderId="0" xfId="2" applyNumberFormat="1" applyFont="1" applyFill="1" applyBorder="1" applyAlignment="1">
      <alignment wrapText="1"/>
    </xf>
    <xf numFmtId="176" fontId="21" fillId="0" borderId="0" xfId="1" applyNumberFormat="1" applyFont="1" applyFill="1" applyBorder="1"/>
    <xf numFmtId="173" fontId="9" fillId="0" borderId="0" xfId="2" applyNumberFormat="1" applyFont="1" applyFill="1" applyBorder="1" applyAlignment="1">
      <alignment horizontal="right" wrapText="1"/>
    </xf>
    <xf numFmtId="173" fontId="13" fillId="0" borderId="0" xfId="2" applyNumberFormat="1" applyFont="1" applyFill="1" applyBorder="1" applyAlignment="1">
      <alignment wrapText="1"/>
    </xf>
    <xf numFmtId="167" fontId="10" fillId="0" borderId="3" xfId="2" applyNumberFormat="1" applyFont="1" applyFill="1" applyBorder="1" applyAlignment="1">
      <alignment wrapText="1"/>
    </xf>
    <xf numFmtId="167" fontId="22" fillId="0" borderId="3" xfId="2" applyNumberFormat="1" applyFont="1" applyFill="1" applyBorder="1" applyAlignment="1">
      <alignment wrapText="1"/>
    </xf>
    <xf numFmtId="173" fontId="22" fillId="0" borderId="3" xfId="2" applyNumberFormat="1" applyFont="1" applyFill="1" applyBorder="1" applyAlignment="1">
      <alignment wrapText="1"/>
    </xf>
    <xf numFmtId="173" fontId="10" fillId="0" borderId="3" xfId="2" applyNumberFormat="1" applyFont="1" applyFill="1" applyBorder="1" applyAlignment="1">
      <alignment wrapText="1"/>
    </xf>
    <xf numFmtId="0" fontId="10" fillId="12" borderId="0" xfId="2" applyFont="1" applyFill="1" applyAlignment="1"/>
    <xf numFmtId="0" fontId="13" fillId="12" borderId="0" xfId="2" applyFont="1" applyFill="1"/>
    <xf numFmtId="167" fontId="4" fillId="0" borderId="0" xfId="0" applyNumberFormat="1" applyFont="1" applyFill="1" applyAlignment="1">
      <alignment horizontal="right" vertical="center"/>
    </xf>
    <xf numFmtId="167" fontId="4" fillId="0" borderId="0" xfId="0" applyNumberFormat="1" applyFont="1" applyFill="1" applyAlignment="1">
      <alignment vertical="center"/>
    </xf>
    <xf numFmtId="0" fontId="4" fillId="0" borderId="0" xfId="0" applyFont="1" applyFill="1" applyBorder="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right" vertical="top" wrapText="1"/>
    </xf>
    <xf numFmtId="4" fontId="9" fillId="4" borderId="0" xfId="0" applyNumberFormat="1" applyFont="1" applyFill="1" applyAlignment="1">
      <alignment horizontal="right" vertical="top"/>
    </xf>
    <xf numFmtId="4" fontId="9" fillId="2" borderId="0" xfId="0" applyNumberFormat="1" applyFont="1" applyFill="1" applyAlignment="1">
      <alignment horizontal="right" vertical="top"/>
    </xf>
    <xf numFmtId="4" fontId="9" fillId="6" borderId="0" xfId="0" applyNumberFormat="1" applyFont="1" applyFill="1" applyAlignment="1">
      <alignment horizontal="right" vertical="top"/>
    </xf>
    <xf numFmtId="4" fontId="9" fillId="7" borderId="0" xfId="0" applyNumberFormat="1" applyFont="1" applyFill="1" applyAlignment="1">
      <alignment horizontal="right" vertical="top"/>
    </xf>
    <xf numFmtId="0" fontId="12" fillId="0" borderId="1" xfId="0" applyFont="1" applyBorder="1" applyAlignment="1">
      <alignment horizontal="center" vertical="center" wrapText="1"/>
    </xf>
    <xf numFmtId="0" fontId="21" fillId="0" borderId="0" xfId="0" applyFont="1" applyAlignment="1">
      <alignment horizontal="left" vertical="top" wrapText="1"/>
    </xf>
    <xf numFmtId="4" fontId="21" fillId="0" borderId="0" xfId="0" applyNumberFormat="1" applyFont="1" applyAlignment="1">
      <alignment horizontal="right" vertical="top"/>
    </xf>
    <xf numFmtId="0" fontId="21" fillId="6" borderId="0" xfId="0" applyFont="1" applyFill="1" applyAlignment="1">
      <alignment horizontal="left" vertical="top" wrapText="1"/>
    </xf>
    <xf numFmtId="0" fontId="21" fillId="2" borderId="0" xfId="0" applyFont="1" applyFill="1" applyAlignment="1">
      <alignment horizontal="left" vertical="top" wrapText="1"/>
    </xf>
    <xf numFmtId="0" fontId="21" fillId="4" borderId="0" xfId="0" applyFont="1" applyFill="1" applyAlignment="1">
      <alignment horizontal="left" vertical="top" wrapText="1"/>
    </xf>
    <xf numFmtId="3" fontId="0" fillId="0" borderId="0" xfId="0" applyNumberFormat="1" applyFill="1" applyAlignment="1">
      <alignment horizontal="right"/>
    </xf>
    <xf numFmtId="4" fontId="17" fillId="14" borderId="0" xfId="0" applyNumberFormat="1" applyFont="1" applyFill="1"/>
    <xf numFmtId="0" fontId="17" fillId="14" borderId="0" xfId="0" applyFont="1" applyFill="1"/>
    <xf numFmtId="3" fontId="5" fillId="0" borderId="4" xfId="0" applyNumberFormat="1" applyFont="1" applyBorder="1" applyAlignment="1">
      <alignment vertical="center"/>
    </xf>
    <xf numFmtId="4" fontId="17" fillId="2" borderId="0" xfId="0" applyNumberFormat="1" applyFont="1" applyFill="1" applyAlignment="1">
      <alignment horizontal="center"/>
    </xf>
    <xf numFmtId="4" fontId="23" fillId="2" borderId="0" xfId="0" applyNumberFormat="1" applyFont="1" applyFill="1" applyAlignment="1">
      <alignment horizontal="center"/>
    </xf>
    <xf numFmtId="4" fontId="17" fillId="14" borderId="0" xfId="0" applyNumberFormat="1" applyFont="1" applyFill="1" applyAlignment="1">
      <alignment horizontal="center"/>
    </xf>
    <xf numFmtId="0" fontId="0" fillId="0" borderId="0" xfId="0" applyFill="1" applyAlignment="1">
      <alignment horizontal="right"/>
    </xf>
    <xf numFmtId="0" fontId="0" fillId="0" borderId="0" xfId="0" applyFont="1"/>
    <xf numFmtId="3" fontId="4" fillId="0" borderId="6" xfId="0" applyNumberFormat="1" applyFont="1" applyBorder="1" applyAlignment="1">
      <alignment horizontal="right" vertical="center" wrapText="1"/>
    </xf>
    <xf numFmtId="3" fontId="4" fillId="0" borderId="6" xfId="0" applyNumberFormat="1" applyFont="1" applyBorder="1" applyAlignment="1">
      <alignment horizontal="right" vertical="center"/>
    </xf>
    <xf numFmtId="3" fontId="4" fillId="0" borderId="7" xfId="0" applyNumberFormat="1" applyFont="1" applyBorder="1" applyAlignment="1">
      <alignment horizontal="right" vertical="center"/>
    </xf>
    <xf numFmtId="3" fontId="4" fillId="0" borderId="7" xfId="0" applyNumberFormat="1" applyFont="1" applyBorder="1" applyAlignment="1">
      <alignment horizontal="right" vertical="center" wrapText="1"/>
    </xf>
    <xf numFmtId="0" fontId="0" fillId="14" borderId="0" xfId="0" applyFill="1"/>
    <xf numFmtId="4" fontId="0" fillId="14" borderId="0" xfId="0" applyNumberFormat="1" applyFill="1"/>
    <xf numFmtId="3" fontId="0" fillId="0" borderId="1" xfId="0" applyNumberFormat="1" applyBorder="1" applyAlignment="1">
      <alignment horizontal="right"/>
    </xf>
    <xf numFmtId="170" fontId="17" fillId="14" borderId="0" xfId="0" applyNumberFormat="1" applyFont="1" applyFill="1"/>
    <xf numFmtId="3" fontId="6" fillId="0" borderId="7" xfId="0" applyNumberFormat="1" applyFont="1" applyBorder="1" applyAlignment="1">
      <alignment horizontal="right" vertical="center" wrapText="1"/>
    </xf>
    <xf numFmtId="0" fontId="17" fillId="0" borderId="0" xfId="0" applyFont="1" applyAlignment="1">
      <alignment horizontal="center" vertical="center" wrapText="1"/>
    </xf>
    <xf numFmtId="3" fontId="6" fillId="0" borderId="0" xfId="0" applyNumberFormat="1" applyFont="1" applyFill="1" applyBorder="1" applyAlignment="1">
      <alignment horizontal="right" vertical="center" wrapText="1"/>
    </xf>
    <xf numFmtId="0" fontId="17" fillId="0" borderId="0" xfId="0" applyFont="1" applyFill="1"/>
    <xf numFmtId="3" fontId="11" fillId="0" borderId="0" xfId="0" applyNumberFormat="1" applyFont="1" applyBorder="1" applyAlignment="1">
      <alignment horizontal="right" vertical="center" wrapText="1"/>
    </xf>
    <xf numFmtId="14" fontId="21" fillId="3" borderId="0" xfId="0" applyNumberFormat="1" applyFont="1" applyFill="1" applyAlignment="1">
      <alignment horizontal="left" vertical="top"/>
    </xf>
    <xf numFmtId="0" fontId="21" fillId="3" borderId="0" xfId="0" applyFont="1" applyFill="1" applyAlignment="1">
      <alignment horizontal="left" vertical="top" wrapText="1"/>
    </xf>
    <xf numFmtId="4" fontId="9" fillId="3" borderId="0" xfId="0" applyNumberFormat="1" applyFont="1" applyFill="1" applyAlignment="1">
      <alignment horizontal="right" vertical="top"/>
    </xf>
    <xf numFmtId="169" fontId="21" fillId="3" borderId="0" xfId="0" applyNumberFormat="1" applyFont="1" applyFill="1" applyAlignment="1">
      <alignment horizontal="right" vertical="top"/>
    </xf>
    <xf numFmtId="14" fontId="21" fillId="15" borderId="0" xfId="0" applyNumberFormat="1" applyFont="1" applyFill="1" applyAlignment="1">
      <alignment horizontal="left" vertical="top"/>
    </xf>
    <xf numFmtId="0" fontId="0" fillId="15" borderId="0" xfId="0" applyFill="1"/>
    <xf numFmtId="0" fontId="21" fillId="15" borderId="0" xfId="0" applyFont="1" applyFill="1" applyAlignment="1">
      <alignment horizontal="left" vertical="top" wrapText="1"/>
    </xf>
    <xf numFmtId="4" fontId="9" fillId="15" borderId="0" xfId="0" applyNumberFormat="1" applyFont="1" applyFill="1" applyAlignment="1">
      <alignment horizontal="right" vertical="top"/>
    </xf>
    <xf numFmtId="169" fontId="21" fillId="15" borderId="0" xfId="0" applyNumberFormat="1" applyFont="1" applyFill="1" applyAlignment="1">
      <alignment horizontal="right" vertical="top"/>
    </xf>
    <xf numFmtId="14" fontId="21" fillId="7" borderId="0" xfId="0" applyNumberFormat="1" applyFont="1" applyFill="1" applyAlignment="1">
      <alignment horizontal="left" vertical="top"/>
    </xf>
    <xf numFmtId="0" fontId="21" fillId="7" borderId="0" xfId="0" applyFont="1" applyFill="1" applyAlignment="1">
      <alignment horizontal="left" vertical="top" wrapText="1"/>
    </xf>
    <xf numFmtId="169" fontId="21" fillId="7" borderId="0" xfId="0" applyNumberFormat="1" applyFont="1" applyFill="1" applyAlignment="1">
      <alignment horizontal="right" vertical="top"/>
    </xf>
    <xf numFmtId="0" fontId="0" fillId="16" borderId="0" xfId="0" applyFill="1"/>
    <xf numFmtId="14" fontId="21" fillId="16" borderId="0" xfId="0" applyNumberFormat="1" applyFont="1" applyFill="1" applyAlignment="1">
      <alignment horizontal="left" vertical="top"/>
    </xf>
    <xf numFmtId="0" fontId="21" fillId="16" borderId="0" xfId="0" applyFont="1" applyFill="1" applyAlignment="1">
      <alignment horizontal="left" vertical="top" wrapText="1"/>
    </xf>
    <xf numFmtId="4" fontId="9" fillId="16" borderId="0" xfId="0" applyNumberFormat="1" applyFont="1" applyFill="1" applyAlignment="1">
      <alignment horizontal="right" vertical="top"/>
    </xf>
    <xf numFmtId="169" fontId="21" fillId="16" borderId="0" xfId="0" applyNumberFormat="1" applyFont="1" applyFill="1" applyAlignment="1">
      <alignment horizontal="right" vertical="top"/>
    </xf>
    <xf numFmtId="14" fontId="21" fillId="17" borderId="0" xfId="0" applyNumberFormat="1" applyFont="1" applyFill="1" applyAlignment="1">
      <alignment horizontal="left" vertical="top"/>
    </xf>
    <xf numFmtId="0" fontId="0" fillId="17" borderId="0" xfId="0" applyFill="1"/>
    <xf numFmtId="0" fontId="21" fillId="17" borderId="0" xfId="0" applyFont="1" applyFill="1" applyAlignment="1">
      <alignment horizontal="left" vertical="top" wrapText="1"/>
    </xf>
    <xf numFmtId="4" fontId="9" fillId="17" borderId="0" xfId="0" applyNumberFormat="1" applyFont="1" applyFill="1" applyAlignment="1">
      <alignment horizontal="right" vertical="top"/>
    </xf>
    <xf numFmtId="169" fontId="21" fillId="17" borderId="0" xfId="0" applyNumberFormat="1" applyFont="1" applyFill="1" applyAlignment="1">
      <alignment horizontal="right" vertical="top"/>
    </xf>
    <xf numFmtId="169" fontId="22" fillId="17" borderId="0" xfId="0" applyNumberFormat="1" applyFont="1" applyFill="1" applyAlignment="1">
      <alignment horizontal="right" vertical="top"/>
    </xf>
    <xf numFmtId="14" fontId="21" fillId="18" borderId="0" xfId="0" applyNumberFormat="1" applyFont="1" applyFill="1" applyAlignment="1">
      <alignment horizontal="left" vertical="top"/>
    </xf>
    <xf numFmtId="0" fontId="0" fillId="18" borderId="0" xfId="0" applyFill="1"/>
    <xf numFmtId="0" fontId="21" fillId="18" borderId="0" xfId="0" applyFont="1" applyFill="1" applyAlignment="1">
      <alignment horizontal="left" vertical="top" wrapText="1"/>
    </xf>
    <xf numFmtId="4" fontId="9" fillId="18" borderId="0" xfId="0" applyNumberFormat="1" applyFont="1" applyFill="1" applyAlignment="1">
      <alignment horizontal="right" vertical="top"/>
    </xf>
    <xf numFmtId="169" fontId="21" fillId="18" borderId="0" xfId="0" applyNumberFormat="1" applyFont="1" applyFill="1" applyAlignment="1">
      <alignment horizontal="right" vertical="top"/>
    </xf>
    <xf numFmtId="14" fontId="21" fillId="19" borderId="0" xfId="0" applyNumberFormat="1" applyFont="1" applyFill="1" applyAlignment="1">
      <alignment horizontal="left" vertical="top"/>
    </xf>
    <xf numFmtId="0" fontId="0" fillId="19" borderId="0" xfId="0" applyFill="1"/>
    <xf numFmtId="0" fontId="21" fillId="19" borderId="0" xfId="0" applyFont="1" applyFill="1" applyAlignment="1">
      <alignment horizontal="left" vertical="top" wrapText="1"/>
    </xf>
    <xf numFmtId="4" fontId="9" fillId="19" borderId="0" xfId="0" applyNumberFormat="1" applyFont="1" applyFill="1" applyAlignment="1">
      <alignment horizontal="right" vertical="top"/>
    </xf>
    <xf numFmtId="169" fontId="21" fillId="19" borderId="0" xfId="0" applyNumberFormat="1" applyFont="1" applyFill="1" applyAlignment="1">
      <alignment horizontal="right" vertical="top"/>
    </xf>
    <xf numFmtId="176" fontId="6" fillId="0" borderId="0" xfId="0" applyNumberFormat="1" applyFont="1" applyFill="1" applyAlignment="1">
      <alignment horizontal="right" vertical="center" wrapText="1"/>
    </xf>
    <xf numFmtId="176" fontId="6" fillId="0" borderId="0" xfId="0" applyNumberFormat="1" applyFont="1" applyAlignment="1">
      <alignment horizontal="right" vertical="center" wrapText="1"/>
    </xf>
    <xf numFmtId="176" fontId="6" fillId="0" borderId="6" xfId="0" applyNumberFormat="1" applyFont="1" applyBorder="1" applyAlignment="1">
      <alignment horizontal="right" vertical="center" wrapText="1"/>
    </xf>
    <xf numFmtId="176" fontId="6" fillId="0" borderId="15" xfId="0" applyNumberFormat="1" applyFont="1" applyBorder="1" applyAlignment="1">
      <alignment horizontal="right" vertical="center" wrapText="1"/>
    </xf>
    <xf numFmtId="4" fontId="0" fillId="19" borderId="0" xfId="0" applyNumberFormat="1" applyFill="1"/>
    <xf numFmtId="176" fontId="6" fillId="0" borderId="7" xfId="0" applyNumberFormat="1" applyFont="1" applyBorder="1" applyAlignment="1">
      <alignment horizontal="right" vertical="center" wrapText="1"/>
    </xf>
    <xf numFmtId="3" fontId="11" fillId="0" borderId="3" xfId="0" applyNumberFormat="1" applyFont="1" applyBorder="1" applyAlignment="1">
      <alignment horizontal="right" vertical="center" wrapText="1"/>
    </xf>
    <xf numFmtId="0" fontId="11" fillId="0" borderId="0" xfId="0" applyFont="1" applyBorder="1" applyAlignment="1">
      <alignment horizontal="center" vertical="center" wrapText="1"/>
    </xf>
    <xf numFmtId="176" fontId="6" fillId="0" borderId="0" xfId="0" applyNumberFormat="1" applyFont="1" applyAlignment="1">
      <alignment horizontal="right" vertical="center"/>
    </xf>
    <xf numFmtId="176" fontId="6" fillId="0" borderId="3" xfId="0" applyNumberFormat="1" applyFont="1" applyBorder="1" applyAlignment="1">
      <alignment horizontal="right" vertical="center"/>
    </xf>
    <xf numFmtId="176" fontId="11" fillId="0" borderId="0" xfId="0" applyNumberFormat="1" applyFont="1" applyBorder="1" applyAlignment="1">
      <alignment horizontal="right" vertical="center"/>
    </xf>
    <xf numFmtId="0" fontId="0" fillId="13" borderId="0" xfId="0" applyFill="1"/>
    <xf numFmtId="0" fontId="0" fillId="20" borderId="0" xfId="0" applyFill="1"/>
    <xf numFmtId="0" fontId="0" fillId="21" borderId="0" xfId="0" applyFill="1"/>
    <xf numFmtId="0" fontId="0" fillId="22" borderId="0" xfId="0" applyFill="1"/>
    <xf numFmtId="0" fontId="0" fillId="23" borderId="0" xfId="0" applyFill="1"/>
    <xf numFmtId="0" fontId="22" fillId="0" borderId="0" xfId="8" applyFont="1"/>
    <xf numFmtId="0" fontId="22" fillId="0" borderId="0" xfId="8" applyFont="1" applyBorder="1" applyAlignment="1">
      <alignment horizontal="center"/>
    </xf>
    <xf numFmtId="0" fontId="22" fillId="0" borderId="0" xfId="8" applyFont="1" applyAlignment="1">
      <alignment horizontal="center"/>
    </xf>
    <xf numFmtId="0" fontId="22" fillId="0" borderId="0" xfId="8" applyFont="1" applyFill="1" applyBorder="1" applyAlignment="1"/>
    <xf numFmtId="0" fontId="22" fillId="0" borderId="6" xfId="8" applyFont="1" applyBorder="1" applyAlignment="1">
      <alignment horizontal="center"/>
    </xf>
    <xf numFmtId="0" fontId="22" fillId="0" borderId="6" xfId="8" applyFont="1" applyBorder="1" applyAlignment="1">
      <alignment horizontal="right"/>
    </xf>
    <xf numFmtId="0" fontId="21" fillId="0" borderId="0" xfId="8" applyFont="1"/>
    <xf numFmtId="0" fontId="21" fillId="0" borderId="0" xfId="8" applyFont="1" applyAlignment="1"/>
    <xf numFmtId="167" fontId="21" fillId="0" borderId="0" xfId="8" applyNumberFormat="1" applyFont="1"/>
    <xf numFmtId="0" fontId="21" fillId="0" borderId="0" xfId="8" applyFont="1" applyBorder="1" applyAlignment="1">
      <alignment horizontal="left" indent="1"/>
    </xf>
    <xf numFmtId="167" fontId="21" fillId="0" borderId="0" xfId="8" applyNumberFormat="1" applyFont="1" applyFill="1" applyBorder="1" applyAlignment="1">
      <alignment horizontal="right"/>
    </xf>
    <xf numFmtId="0" fontId="21" fillId="0" borderId="0" xfId="8" applyFont="1" applyAlignment="1">
      <alignment horizontal="left" indent="1"/>
    </xf>
    <xf numFmtId="10" fontId="21" fillId="0" borderId="0" xfId="8" applyNumberFormat="1" applyFont="1" applyFill="1" applyAlignment="1">
      <alignment horizontal="right"/>
    </xf>
    <xf numFmtId="9" fontId="21" fillId="0" borderId="0" xfId="8" applyNumberFormat="1" applyFont="1" applyFill="1" applyAlignment="1"/>
    <xf numFmtId="10" fontId="21" fillId="0" borderId="0" xfId="8" applyNumberFormat="1" applyFont="1" applyFill="1" applyAlignment="1"/>
    <xf numFmtId="167" fontId="21" fillId="0" borderId="0" xfId="8" applyNumberFormat="1" applyFont="1" applyFill="1" applyBorder="1" applyAlignment="1"/>
    <xf numFmtId="0" fontId="22" fillId="0" borderId="0" xfId="8" applyFont="1" applyAlignment="1"/>
    <xf numFmtId="0" fontId="21" fillId="0" borderId="0" xfId="8" applyFont="1" applyFill="1"/>
    <xf numFmtId="0" fontId="21" fillId="0" borderId="0" xfId="8" applyFont="1" applyFill="1" applyAlignment="1"/>
    <xf numFmtId="0" fontId="21" fillId="0" borderId="0" xfId="8" applyFont="1" applyFill="1" applyBorder="1" applyAlignment="1"/>
    <xf numFmtId="173" fontId="21" fillId="0" borderId="6" xfId="8" applyNumberFormat="1" applyFont="1" applyFill="1" applyBorder="1" applyAlignment="1">
      <alignment horizontal="right"/>
    </xf>
    <xf numFmtId="173" fontId="22" fillId="0" borderId="0" xfId="8" applyNumberFormat="1" applyFont="1" applyFill="1" applyBorder="1" applyAlignment="1">
      <alignment horizontal="right"/>
    </xf>
    <xf numFmtId="167" fontId="22" fillId="0" borderId="0" xfId="8" applyNumberFormat="1" applyFont="1" applyFill="1" applyBorder="1" applyAlignment="1">
      <alignment horizontal="right"/>
    </xf>
    <xf numFmtId="0" fontId="28" fillId="0" borderId="0" xfId="8" applyFont="1" applyFill="1" applyBorder="1" applyAlignment="1"/>
    <xf numFmtId="173" fontId="28" fillId="0" borderId="0" xfId="8" applyNumberFormat="1" applyFont="1" applyFill="1" applyBorder="1" applyAlignment="1">
      <alignment horizontal="right"/>
    </xf>
    <xf numFmtId="173" fontId="21" fillId="0" borderId="0" xfId="8" applyNumberFormat="1" applyFont="1" applyFill="1" applyBorder="1" applyAlignment="1">
      <alignment horizontal="right"/>
    </xf>
    <xf numFmtId="167" fontId="28" fillId="0" borderId="0" xfId="8" applyNumberFormat="1" applyFont="1" applyFill="1" applyBorder="1" applyAlignment="1">
      <alignment horizontal="right"/>
    </xf>
    <xf numFmtId="173" fontId="21" fillId="0" borderId="0" xfId="8" applyNumberFormat="1" applyFont="1" applyFill="1" applyAlignment="1">
      <alignment horizontal="right"/>
    </xf>
    <xf numFmtId="167" fontId="21" fillId="0" borderId="0" xfId="8" applyNumberFormat="1" applyFont="1" applyFill="1" applyAlignment="1">
      <alignment horizontal="right"/>
    </xf>
    <xf numFmtId="0" fontId="21" fillId="0" borderId="0" xfId="8" applyFont="1" applyFill="1" applyAlignment="1">
      <alignment horizontal="right"/>
    </xf>
    <xf numFmtId="0" fontId="21" fillId="0" borderId="0" xfId="8" applyFont="1" applyBorder="1" applyAlignment="1"/>
    <xf numFmtId="173" fontId="28" fillId="0" borderId="0" xfId="8" applyNumberFormat="1" applyFont="1" applyBorder="1" applyAlignment="1">
      <alignment horizontal="right"/>
    </xf>
    <xf numFmtId="173" fontId="22" fillId="2" borderId="3" xfId="8" applyNumberFormat="1" applyFont="1" applyFill="1" applyBorder="1" applyAlignment="1">
      <alignment horizontal="right"/>
    </xf>
    <xf numFmtId="167" fontId="22" fillId="0" borderId="3" xfId="8" applyNumberFormat="1" applyFont="1" applyFill="1" applyBorder="1" applyAlignment="1">
      <alignment horizontal="right"/>
    </xf>
    <xf numFmtId="3" fontId="21" fillId="0" borderId="0" xfId="5" applyNumberFormat="1" applyFont="1" applyBorder="1" applyAlignment="1">
      <alignment horizontal="right"/>
    </xf>
    <xf numFmtId="3" fontId="21" fillId="0" borderId="6" xfId="5" applyNumberFormat="1" applyFont="1" applyBorder="1" applyAlignment="1">
      <alignment horizontal="right"/>
    </xf>
    <xf numFmtId="3" fontId="21" fillId="0" borderId="0" xfId="5" applyNumberFormat="1" applyFont="1" applyFill="1" applyAlignment="1">
      <alignment horizontal="right"/>
    </xf>
    <xf numFmtId="167" fontId="21" fillId="0" borderId="0" xfId="4" applyNumberFormat="1" applyFont="1" applyBorder="1" applyAlignment="1">
      <alignment horizontal="right"/>
    </xf>
    <xf numFmtId="167" fontId="22" fillId="0" borderId="3" xfId="8" applyNumberFormat="1" applyFont="1" applyBorder="1" applyAlignment="1">
      <alignment horizontal="right"/>
    </xf>
    <xf numFmtId="167" fontId="22" fillId="0" borderId="3" xfId="4" applyNumberFormat="1" applyFont="1" applyBorder="1"/>
    <xf numFmtId="3" fontId="13" fillId="0" borderId="3" xfId="4" applyNumberFormat="1" applyFont="1" applyFill="1" applyBorder="1"/>
    <xf numFmtId="3" fontId="13" fillId="0" borderId="0" xfId="4" applyNumberFormat="1" applyFont="1" applyFill="1" applyBorder="1"/>
    <xf numFmtId="176" fontId="12" fillId="0" borderId="0" xfId="4" applyNumberFormat="1" applyFont="1" applyFill="1" applyBorder="1"/>
    <xf numFmtId="3" fontId="13" fillId="0" borderId="0" xfId="3" applyNumberFormat="1" applyFont="1" applyFill="1"/>
    <xf numFmtId="3" fontId="13" fillId="0" borderId="6" xfId="3" applyNumberFormat="1" applyFont="1" applyFill="1" applyBorder="1"/>
    <xf numFmtId="3" fontId="10" fillId="0" borderId="3" xfId="2" applyNumberFormat="1" applyFont="1" applyFill="1" applyBorder="1" applyAlignment="1">
      <alignment wrapText="1"/>
    </xf>
    <xf numFmtId="171" fontId="29" fillId="0" borderId="0" xfId="0" applyNumberFormat="1" applyFont="1" applyAlignment="1">
      <alignment horizontal="right" vertical="top"/>
    </xf>
    <xf numFmtId="0" fontId="12" fillId="0" borderId="0" xfId="0" applyFont="1" applyBorder="1" applyAlignment="1">
      <alignment horizontal="center" vertical="center" wrapText="1"/>
    </xf>
    <xf numFmtId="3" fontId="13" fillId="0" borderId="0" xfId="0" applyNumberFormat="1" applyFont="1" applyBorder="1"/>
    <xf numFmtId="3" fontId="34" fillId="0" borderId="0" xfId="0" applyNumberFormat="1" applyFont="1" applyAlignment="1">
      <alignment horizontal="right"/>
    </xf>
    <xf numFmtId="0" fontId="17" fillId="0" borderId="0" xfId="0" applyFont="1" applyBorder="1"/>
    <xf numFmtId="3" fontId="17" fillId="0" borderId="0" xfId="0" applyNumberFormat="1" applyFont="1" applyBorder="1"/>
    <xf numFmtId="9" fontId="6" fillId="0" borderId="0" xfId="0" applyNumberFormat="1" applyFont="1" applyBorder="1" applyAlignment="1">
      <alignment horizontal="right" vertical="center"/>
    </xf>
    <xf numFmtId="3" fontId="6" fillId="0" borderId="6" xfId="0" applyNumberFormat="1" applyFont="1" applyBorder="1" applyAlignment="1">
      <alignment horizontal="right" vertical="center"/>
    </xf>
    <xf numFmtId="0" fontId="5" fillId="0" borderId="1" xfId="0" applyFont="1" applyBorder="1" applyAlignment="1">
      <alignment horizontal="center" vertical="center"/>
    </xf>
    <xf numFmtId="3" fontId="5" fillId="2" borderId="4" xfId="0" applyNumberFormat="1" applyFont="1" applyFill="1" applyBorder="1" applyAlignment="1">
      <alignment vertical="center"/>
    </xf>
    <xf numFmtId="3" fontId="4" fillId="21" borderId="6" xfId="0" applyNumberFormat="1" applyFont="1" applyFill="1" applyBorder="1" applyAlignment="1">
      <alignment horizontal="right" vertical="center" wrapText="1"/>
    </xf>
    <xf numFmtId="3" fontId="13" fillId="21" borderId="0" xfId="0" applyNumberFormat="1" applyFont="1" applyFill="1" applyAlignment="1">
      <alignment horizontal="right" vertical="center"/>
    </xf>
    <xf numFmtId="164" fontId="13" fillId="21" borderId="0" xfId="0" applyNumberFormat="1" applyFont="1" applyFill="1" applyAlignment="1">
      <alignment horizontal="center" vertical="center"/>
    </xf>
    <xf numFmtId="170" fontId="35" fillId="0" borderId="0" xfId="0" applyNumberFormat="1" applyFont="1"/>
    <xf numFmtId="3" fontId="13" fillId="21" borderId="1" xfId="0" applyNumberFormat="1" applyFont="1" applyFill="1" applyBorder="1" applyAlignment="1">
      <alignment horizontal="right" vertical="center"/>
    </xf>
    <xf numFmtId="3" fontId="6" fillId="21" borderId="0" xfId="0" applyNumberFormat="1" applyFont="1" applyFill="1" applyAlignment="1">
      <alignment horizontal="right" vertical="center"/>
    </xf>
    <xf numFmtId="166" fontId="6" fillId="21" borderId="1" xfId="0" applyNumberFormat="1" applyFont="1" applyFill="1" applyBorder="1" applyAlignment="1">
      <alignment horizontal="right" vertical="center"/>
    </xf>
    <xf numFmtId="14" fontId="25" fillId="0" borderId="0" xfId="0" applyNumberFormat="1" applyFont="1" applyFill="1" applyBorder="1" applyAlignment="1">
      <alignment horizontal="right"/>
    </xf>
    <xf numFmtId="3" fontId="17" fillId="21" borderId="0" xfId="0" applyNumberFormat="1" applyFont="1" applyFill="1"/>
    <xf numFmtId="0" fontId="17" fillId="21" borderId="0" xfId="0" applyFont="1" applyFill="1"/>
    <xf numFmtId="3" fontId="5" fillId="21" borderId="0" xfId="0" applyNumberFormat="1" applyFont="1" applyFill="1" applyBorder="1" applyAlignment="1">
      <alignment horizontal="right" vertical="center"/>
    </xf>
    <xf numFmtId="0" fontId="17" fillId="21" borderId="0" xfId="0" applyFont="1" applyFill="1" applyAlignment="1">
      <alignment horizontal="right"/>
    </xf>
    <xf numFmtId="0" fontId="19" fillId="0" borderId="0" xfId="0" applyFont="1" applyFill="1" applyAlignment="1"/>
    <xf numFmtId="3" fontId="17" fillId="2" borderId="0" xfId="0" applyNumberFormat="1" applyFont="1" applyFill="1" applyAlignment="1"/>
    <xf numFmtId="0" fontId="0" fillId="0" borderId="0" xfId="0" applyFill="1" applyAlignment="1"/>
    <xf numFmtId="0" fontId="13" fillId="21" borderId="0" xfId="0" applyFont="1" applyFill="1" applyAlignment="1">
      <alignment vertical="center" wrapText="1"/>
    </xf>
    <xf numFmtId="3" fontId="13" fillId="21" borderId="0" xfId="0" applyNumberFormat="1" applyFont="1" applyFill="1" applyBorder="1" applyAlignment="1">
      <alignment horizontal="right" vertical="center" wrapText="1"/>
    </xf>
    <xf numFmtId="166" fontId="13" fillId="21" borderId="0" xfId="0" applyNumberFormat="1" applyFont="1" applyFill="1" applyAlignment="1">
      <alignment horizontal="right" vertical="center"/>
    </xf>
    <xf numFmtId="0" fontId="0" fillId="21" borderId="0" xfId="0" applyFill="1" applyAlignment="1">
      <alignment horizontal="right"/>
    </xf>
    <xf numFmtId="3" fontId="13" fillId="21" borderId="0" xfId="0" applyNumberFormat="1" applyFont="1" applyFill="1" applyAlignment="1">
      <alignment horizontal="right"/>
    </xf>
    <xf numFmtId="166" fontId="13" fillId="21" borderId="0" xfId="0" applyNumberFormat="1" applyFont="1" applyFill="1" applyBorder="1" applyAlignment="1">
      <alignment horizontal="right" vertical="center"/>
    </xf>
    <xf numFmtId="3" fontId="13" fillId="21" borderId="7" xfId="0" applyNumberFormat="1" applyFont="1" applyFill="1" applyBorder="1" applyAlignment="1">
      <alignment horizontal="right" vertical="center" wrapText="1"/>
    </xf>
    <xf numFmtId="3" fontId="13" fillId="21" borderId="7" xfId="0" applyNumberFormat="1" applyFont="1" applyFill="1" applyBorder="1"/>
    <xf numFmtId="166" fontId="13" fillId="21" borderId="7" xfId="0" applyNumberFormat="1" applyFont="1" applyFill="1" applyBorder="1" applyAlignment="1">
      <alignment horizontal="right" vertical="center"/>
    </xf>
    <xf numFmtId="176" fontId="13" fillId="21" borderId="7" xfId="0" applyNumberFormat="1" applyFont="1" applyFill="1" applyBorder="1"/>
    <xf numFmtId="0" fontId="38" fillId="0" borderId="0" xfId="0" applyFont="1"/>
    <xf numFmtId="0" fontId="13" fillId="0" borderId="0" xfId="0" applyFont="1" applyAlignment="1">
      <alignment vertical="center" wrapText="1"/>
    </xf>
    <xf numFmtId="3" fontId="13" fillId="0" borderId="0" xfId="0" applyNumberFormat="1" applyFont="1" applyBorder="1" applyAlignment="1">
      <alignment horizontal="right" vertical="center" wrapText="1"/>
    </xf>
    <xf numFmtId="0" fontId="13" fillId="0" borderId="0" xfId="0" applyFont="1" applyBorder="1" applyAlignment="1">
      <alignment horizontal="right" vertical="center" wrapText="1"/>
    </xf>
    <xf numFmtId="0" fontId="12" fillId="25" borderId="0" xfId="0" applyFont="1" applyFill="1" applyAlignment="1">
      <alignment horizontal="center" vertical="center" wrapText="1"/>
    </xf>
    <xf numFmtId="0" fontId="12" fillId="25" borderId="1" xfId="0" applyFont="1" applyFill="1" applyBorder="1" applyAlignment="1">
      <alignment horizontal="center" vertical="center" wrapText="1"/>
    </xf>
    <xf numFmtId="0" fontId="13" fillId="25" borderId="0" xfId="0" applyFont="1" applyFill="1" applyAlignment="1">
      <alignment vertical="center" wrapText="1"/>
    </xf>
    <xf numFmtId="0" fontId="39" fillId="25" borderId="0" xfId="0" applyFont="1" applyFill="1" applyAlignment="1">
      <alignment horizontal="center" vertical="center" wrapText="1"/>
    </xf>
    <xf numFmtId="0" fontId="13" fillId="25" borderId="0" xfId="0" applyFont="1" applyFill="1" applyAlignment="1">
      <alignment horizontal="right" vertical="center" wrapText="1"/>
    </xf>
    <xf numFmtId="3" fontId="13" fillId="25" borderId="0" xfId="0" applyNumberFormat="1" applyFont="1" applyFill="1" applyAlignment="1">
      <alignment horizontal="right" vertical="center" wrapText="1"/>
    </xf>
    <xf numFmtId="3" fontId="13" fillId="25" borderId="4" xfId="0" applyNumberFormat="1" applyFont="1" applyFill="1" applyBorder="1" applyAlignment="1">
      <alignment horizontal="right" vertical="center" wrapText="1"/>
    </xf>
    <xf numFmtId="0" fontId="13" fillId="25" borderId="4" xfId="0" applyFont="1" applyFill="1" applyBorder="1" applyAlignment="1">
      <alignment horizontal="right" vertical="center" wrapText="1"/>
    </xf>
    <xf numFmtId="0" fontId="5" fillId="0" borderId="1" xfId="0" applyFont="1" applyBorder="1" applyAlignment="1">
      <alignment horizontal="center" vertical="center"/>
    </xf>
    <xf numFmtId="0" fontId="20" fillId="0" borderId="0" xfId="0" applyFont="1" applyFill="1" applyAlignment="1">
      <alignment vertical="center"/>
    </xf>
    <xf numFmtId="0" fontId="40" fillId="0" borderId="0" xfId="0" applyFont="1" applyAlignment="1">
      <alignment vertical="center"/>
    </xf>
    <xf numFmtId="0" fontId="41" fillId="0" borderId="0" xfId="0" applyFont="1" applyAlignment="1">
      <alignment vertical="center"/>
    </xf>
    <xf numFmtId="166" fontId="41" fillId="0" borderId="0" xfId="0" applyNumberFormat="1" applyFont="1" applyAlignment="1">
      <alignment horizontal="right" vertical="center"/>
    </xf>
    <xf numFmtId="3" fontId="25" fillId="0" borderId="4" xfId="0" applyNumberFormat="1" applyFont="1" applyBorder="1" applyAlignment="1">
      <alignment horizontal="right" vertical="center"/>
    </xf>
    <xf numFmtId="3" fontId="25" fillId="0" borderId="4" xfId="0" applyNumberFormat="1" applyFont="1" applyBorder="1" applyAlignment="1">
      <alignment horizontal="right" vertical="center" wrapText="1"/>
    </xf>
    <xf numFmtId="3" fontId="41" fillId="0" borderId="0" xfId="0" applyNumberFormat="1" applyFont="1" applyAlignment="1">
      <alignment horizontal="right" vertical="center"/>
    </xf>
    <xf numFmtId="3" fontId="25" fillId="0" borderId="4" xfId="0" applyNumberFormat="1" applyFont="1" applyFill="1" applyBorder="1" applyAlignment="1">
      <alignment vertical="center"/>
    </xf>
    <xf numFmtId="0" fontId="19" fillId="0" borderId="0" xfId="0" applyFont="1" applyAlignment="1">
      <alignment vertical="center"/>
    </xf>
    <xf numFmtId="0" fontId="42" fillId="0" borderId="0" xfId="0" applyFont="1" applyAlignment="1">
      <alignment vertical="center"/>
    </xf>
    <xf numFmtId="0" fontId="25" fillId="0" borderId="1" xfId="0" applyFont="1" applyBorder="1" applyAlignment="1">
      <alignment horizontal="center" vertical="center"/>
    </xf>
    <xf numFmtId="0" fontId="41" fillId="0" borderId="0" xfId="0" applyFont="1" applyAlignment="1">
      <alignment horizontal="center" vertical="center"/>
    </xf>
    <xf numFmtId="3" fontId="41" fillId="0" borderId="5" xfId="0" applyNumberFormat="1" applyFont="1" applyBorder="1" applyAlignment="1">
      <alignment horizontal="right" vertical="center"/>
    </xf>
    <xf numFmtId="3" fontId="41" fillId="0" borderId="5" xfId="0" applyNumberFormat="1" applyFont="1" applyBorder="1" applyAlignment="1">
      <alignment horizontal="right" vertical="center" wrapText="1"/>
    </xf>
    <xf numFmtId="0" fontId="41" fillId="0" borderId="5" xfId="0" applyFont="1" applyBorder="1" applyAlignment="1">
      <alignment horizontal="right" vertical="center"/>
    </xf>
    <xf numFmtId="0" fontId="25" fillId="0" borderId="0" xfId="0" applyFont="1" applyAlignment="1">
      <alignment horizontal="right" vertical="center"/>
    </xf>
    <xf numFmtId="0" fontId="41" fillId="0" borderId="0" xfId="0" applyFont="1" applyAlignment="1">
      <alignment horizontal="right" vertical="center"/>
    </xf>
    <xf numFmtId="0" fontId="41" fillId="0" borderId="0" xfId="0" applyFont="1" applyAlignment="1">
      <alignment horizontal="right" vertical="center" wrapText="1"/>
    </xf>
    <xf numFmtId="3" fontId="41" fillId="0" borderId="0" xfId="0" applyNumberFormat="1" applyFont="1" applyAlignment="1">
      <alignment horizontal="right" vertical="center" wrapText="1"/>
    </xf>
    <xf numFmtId="0" fontId="25" fillId="0" borderId="1" xfId="0" applyFont="1" applyBorder="1" applyAlignment="1">
      <alignment horizontal="right" vertical="center"/>
    </xf>
    <xf numFmtId="0" fontId="41" fillId="0" borderId="1" xfId="0" applyFont="1" applyBorder="1" applyAlignment="1">
      <alignment horizontal="right" vertical="center"/>
    </xf>
    <xf numFmtId="0" fontId="41" fillId="0" borderId="1" xfId="0" applyFont="1" applyBorder="1" applyAlignment="1">
      <alignment horizontal="right" vertical="center" wrapText="1"/>
    </xf>
    <xf numFmtId="3" fontId="41" fillId="0" borderId="4" xfId="0" applyNumberFormat="1" applyFont="1" applyBorder="1" applyAlignment="1">
      <alignment horizontal="right" vertical="center"/>
    </xf>
    <xf numFmtId="0" fontId="41" fillId="0" borderId="4" xfId="0" applyFont="1" applyBorder="1" applyAlignment="1">
      <alignment horizontal="right" vertical="center" wrapText="1"/>
    </xf>
    <xf numFmtId="0" fontId="41" fillId="0" borderId="4" xfId="0" applyFont="1" applyBorder="1" applyAlignment="1">
      <alignment horizontal="right" vertical="center"/>
    </xf>
    <xf numFmtId="0" fontId="41" fillId="0" borderId="0" xfId="0" applyFont="1" applyFill="1" applyBorder="1" applyAlignment="1">
      <alignment horizontal="right" vertical="center" wrapText="1"/>
    </xf>
    <xf numFmtId="3" fontId="41" fillId="0" borderId="4" xfId="0" applyNumberFormat="1" applyFont="1" applyBorder="1" applyAlignment="1">
      <alignment horizontal="right" vertical="center" wrapText="1"/>
    </xf>
    <xf numFmtId="3" fontId="25" fillId="0" borderId="0" xfId="0" applyNumberFormat="1" applyFont="1" applyFill="1" applyBorder="1" applyAlignment="1">
      <alignment horizontal="right" vertical="center"/>
    </xf>
    <xf numFmtId="3" fontId="25" fillId="0" borderId="4" xfId="0" applyNumberFormat="1" applyFont="1" applyBorder="1" applyAlignment="1">
      <alignment vertical="center"/>
    </xf>
    <xf numFmtId="0" fontId="40" fillId="0" borderId="0" xfId="0" applyFont="1" applyFill="1" applyAlignment="1">
      <alignment vertical="center"/>
    </xf>
    <xf numFmtId="167" fontId="4" fillId="0" borderId="6" xfId="0" applyNumberFormat="1" applyFont="1" applyFill="1" applyBorder="1" applyAlignment="1">
      <alignment vertical="center"/>
    </xf>
    <xf numFmtId="167" fontId="4" fillId="0" borderId="15" xfId="0" applyNumberFormat="1" applyFont="1" applyFill="1" applyBorder="1" applyAlignment="1">
      <alignment vertical="center"/>
    </xf>
    <xf numFmtId="167" fontId="4" fillId="0" borderId="6" xfId="0" applyNumberFormat="1" applyFont="1" applyFill="1" applyBorder="1" applyAlignment="1">
      <alignment horizontal="right" vertical="center"/>
    </xf>
    <xf numFmtId="167" fontId="4" fillId="0" borderId="7" xfId="0" applyNumberFormat="1" applyFont="1" applyFill="1" applyBorder="1" applyAlignment="1">
      <alignment vertical="center"/>
    </xf>
    <xf numFmtId="0" fontId="4" fillId="0" borderId="0" xfId="0" applyFont="1" applyFill="1"/>
    <xf numFmtId="0" fontId="41" fillId="0" borderId="0" xfId="0" applyFont="1" applyFill="1" applyAlignment="1">
      <alignment horizontal="left" vertical="center" wrapText="1"/>
    </xf>
    <xf numFmtId="0" fontId="41" fillId="0" borderId="0" xfId="0" applyFont="1" applyFill="1" applyAlignment="1">
      <alignment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xf>
    <xf numFmtId="0" fontId="41" fillId="0" borderId="0" xfId="0" applyFont="1" applyFill="1" applyAlignment="1">
      <alignment horizontal="left" vertical="center"/>
    </xf>
    <xf numFmtId="3" fontId="41" fillId="0" borderId="0" xfId="0" applyNumberFormat="1" applyFont="1" applyFill="1" applyAlignment="1">
      <alignment horizontal="right" vertical="center"/>
    </xf>
    <xf numFmtId="3" fontId="41" fillId="0" borderId="0" xfId="0" applyNumberFormat="1" applyFont="1" applyFill="1" applyBorder="1" applyAlignment="1">
      <alignment horizontal="right" vertical="center"/>
    </xf>
    <xf numFmtId="3" fontId="41" fillId="0" borderId="1" xfId="0" applyNumberFormat="1" applyFont="1" applyFill="1" applyBorder="1" applyAlignment="1">
      <alignment vertical="center"/>
    </xf>
    <xf numFmtId="166" fontId="41" fillId="0" borderId="1" xfId="0" applyNumberFormat="1" applyFont="1" applyFill="1" applyBorder="1" applyAlignment="1">
      <alignment horizontal="right" vertical="center"/>
    </xf>
    <xf numFmtId="166" fontId="41" fillId="0" borderId="0" xfId="0" applyNumberFormat="1" applyFont="1" applyFill="1" applyAlignment="1">
      <alignment vertical="center"/>
    </xf>
    <xf numFmtId="166" fontId="41" fillId="0" borderId="0" xfId="0" applyNumberFormat="1" applyFont="1" applyFill="1" applyAlignment="1">
      <alignment horizontal="right" vertical="center"/>
    </xf>
    <xf numFmtId="3" fontId="41" fillId="0" borderId="0" xfId="0" applyNumberFormat="1" applyFont="1" applyFill="1" applyAlignment="1">
      <alignment vertical="center"/>
    </xf>
    <xf numFmtId="3" fontId="41" fillId="0" borderId="1" xfId="0" applyNumberFormat="1" applyFont="1" applyFill="1" applyBorder="1" applyAlignment="1">
      <alignment horizontal="right" vertical="center"/>
    </xf>
    <xf numFmtId="0" fontId="41" fillId="0" borderId="0" xfId="0" applyFont="1" applyFill="1" applyAlignment="1">
      <alignment horizontal="left"/>
    </xf>
    <xf numFmtId="0" fontId="41" fillId="0" borderId="0" xfId="0" applyFont="1" applyFill="1"/>
    <xf numFmtId="0" fontId="18" fillId="0" borderId="0" xfId="0" applyFont="1" applyFill="1" applyAlignment="1">
      <alignment horizontal="justify"/>
    </xf>
    <xf numFmtId="0" fontId="18" fillId="0" borderId="0" xfId="0" applyFont="1" applyFill="1"/>
    <xf numFmtId="0" fontId="19" fillId="0" borderId="0" xfId="0" applyFont="1" applyFill="1"/>
    <xf numFmtId="0" fontId="42" fillId="0" borderId="0" xfId="0" applyFont="1" applyFill="1" applyAlignment="1"/>
    <xf numFmtId="0" fontId="44" fillId="0" borderId="0" xfId="0" applyFont="1" applyFill="1" applyAlignment="1">
      <alignment horizontal="justify"/>
    </xf>
    <xf numFmtId="0" fontId="42" fillId="0" borderId="0" xfId="0" applyFont="1" applyFill="1" applyAlignment="1">
      <alignment vertical="center"/>
    </xf>
    <xf numFmtId="0" fontId="41" fillId="0" borderId="0" xfId="0" applyFont="1" applyFill="1" applyAlignment="1">
      <alignment horizontal="center" vertical="center"/>
    </xf>
    <xf numFmtId="3" fontId="41"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3" fontId="41" fillId="0" borderId="0" xfId="0" applyNumberFormat="1" applyFont="1" applyFill="1" applyAlignment="1">
      <alignment horizontal="right" vertical="center" wrapText="1"/>
    </xf>
    <xf numFmtId="3" fontId="41" fillId="0" borderId="0" xfId="0" applyNumberFormat="1" applyFont="1" applyFill="1" applyAlignment="1">
      <alignment horizontal="center" vertical="center"/>
    </xf>
    <xf numFmtId="176" fontId="41" fillId="0" borderId="1" xfId="0" applyNumberFormat="1" applyFont="1" applyFill="1" applyBorder="1" applyAlignment="1">
      <alignment horizontal="right" vertical="center"/>
    </xf>
    <xf numFmtId="167" fontId="41" fillId="0" borderId="1" xfId="0" applyNumberFormat="1" applyFont="1" applyFill="1" applyBorder="1" applyAlignment="1">
      <alignment horizontal="right" vertical="center"/>
    </xf>
    <xf numFmtId="166" fontId="41" fillId="0" borderId="12" xfId="0" applyNumberFormat="1" applyFont="1" applyFill="1" applyBorder="1" applyAlignment="1">
      <alignment horizontal="right" vertical="center"/>
    </xf>
    <xf numFmtId="4" fontId="41" fillId="0" borderId="12" xfId="0" applyNumberFormat="1" applyFont="1" applyFill="1" applyBorder="1" applyAlignment="1">
      <alignment horizontal="right" vertical="center"/>
    </xf>
    <xf numFmtId="168" fontId="45" fillId="0" borderId="12" xfId="0" applyNumberFormat="1" applyFont="1" applyFill="1" applyBorder="1" applyAlignment="1">
      <alignment horizontal="right" vertical="center"/>
    </xf>
    <xf numFmtId="0" fontId="19" fillId="0" borderId="0" xfId="0" applyFont="1" applyFill="1" applyAlignment="1">
      <alignment horizontal="center"/>
    </xf>
    <xf numFmtId="0" fontId="18" fillId="0" borderId="0" xfId="0" applyFont="1"/>
    <xf numFmtId="4" fontId="18" fillId="0" borderId="0" xfId="0" applyNumberFormat="1" applyFont="1"/>
    <xf numFmtId="0" fontId="25" fillId="0" borderId="0" xfId="0" applyFont="1" applyFill="1" applyAlignment="1">
      <alignment horizontal="center"/>
    </xf>
    <xf numFmtId="0" fontId="25" fillId="0" borderId="0" xfId="0" applyFont="1" applyFill="1"/>
    <xf numFmtId="0" fontId="43" fillId="0" borderId="0" xfId="0" applyFont="1" applyFill="1"/>
    <xf numFmtId="3" fontId="41" fillId="0" borderId="0" xfId="0" applyNumberFormat="1" applyFont="1" applyFill="1"/>
    <xf numFmtId="166" fontId="41" fillId="0" borderId="0" xfId="0" applyNumberFormat="1" applyFont="1" applyFill="1"/>
    <xf numFmtId="3" fontId="41" fillId="0" borderId="0" xfId="0" applyNumberFormat="1" applyFont="1" applyFill="1" applyAlignment="1">
      <alignment horizontal="right"/>
    </xf>
    <xf numFmtId="4" fontId="41" fillId="0" borderId="0" xfId="0" applyNumberFormat="1" applyFont="1" applyFill="1"/>
    <xf numFmtId="0" fontId="19" fillId="0" borderId="0" xfId="0" applyFont="1" applyFill="1" applyAlignment="1">
      <alignment vertical="center"/>
    </xf>
    <xf numFmtId="3" fontId="4" fillId="0" borderId="0" xfId="0" applyNumberFormat="1" applyFont="1" applyFill="1"/>
    <xf numFmtId="0" fontId="41" fillId="0" borderId="0" xfId="0" applyFont="1"/>
    <xf numFmtId="4" fontId="41" fillId="0" borderId="0" xfId="0" applyNumberFormat="1" applyFont="1"/>
    <xf numFmtId="0" fontId="25" fillId="0" borderId="0" xfId="0" applyFont="1" applyFill="1" applyAlignment="1">
      <alignment horizontal="right"/>
    </xf>
    <xf numFmtId="3" fontId="25" fillId="0" borderId="0" xfId="0" applyNumberFormat="1" applyFont="1" applyFill="1"/>
    <xf numFmtId="0" fontId="41" fillId="0" borderId="0" xfId="0" applyFont="1" applyAlignment="1">
      <alignment horizontal="right"/>
    </xf>
    <xf numFmtId="0" fontId="41" fillId="0" borderId="0" xfId="0" applyFont="1" applyFill="1" applyAlignment="1"/>
    <xf numFmtId="3" fontId="41" fillId="0" borderId="0" xfId="0" applyNumberFormat="1" applyFont="1"/>
    <xf numFmtId="166" fontId="41" fillId="0" borderId="0" xfId="0" applyNumberFormat="1" applyFont="1"/>
    <xf numFmtId="0" fontId="25" fillId="0" borderId="0" xfId="0" applyFont="1" applyFill="1" applyAlignment="1"/>
    <xf numFmtId="0" fontId="41" fillId="0" borderId="0" xfId="0" applyFont="1" applyFill="1" applyAlignment="1">
      <alignment horizontal="center"/>
    </xf>
    <xf numFmtId="0" fontId="41" fillId="0" borderId="0" xfId="0" applyFont="1" applyFill="1" applyAlignment="1">
      <alignment horizontal="center" vertical="center" wrapText="1"/>
    </xf>
    <xf numFmtId="0" fontId="41" fillId="0" borderId="1" xfId="0" applyFont="1" applyFill="1" applyBorder="1"/>
    <xf numFmtId="0" fontId="41" fillId="0" borderId="11" xfId="0" applyFont="1" applyFill="1" applyBorder="1"/>
    <xf numFmtId="0" fontId="41" fillId="0" borderId="0" xfId="0" applyFont="1" applyFill="1" applyBorder="1" applyAlignment="1">
      <alignment horizontal="center"/>
    </xf>
    <xf numFmtId="0" fontId="41" fillId="0" borderId="12" xfId="0" applyFont="1" applyFill="1" applyBorder="1"/>
    <xf numFmtId="4" fontId="41" fillId="0" borderId="12" xfId="0" applyNumberFormat="1" applyFont="1" applyFill="1" applyBorder="1"/>
    <xf numFmtId="0" fontId="43" fillId="0" borderId="13" xfId="0" applyFont="1" applyFill="1" applyBorder="1"/>
    <xf numFmtId="0" fontId="43" fillId="0" borderId="1" xfId="0" applyFont="1" applyFill="1" applyBorder="1" applyAlignment="1">
      <alignment horizontal="center"/>
    </xf>
    <xf numFmtId="4" fontId="43" fillId="0" borderId="14" xfId="0" applyNumberFormat="1" applyFont="1" applyFill="1" applyBorder="1"/>
    <xf numFmtId="0" fontId="25" fillId="0" borderId="0" xfId="0" applyFont="1" applyFill="1" applyBorder="1" applyAlignment="1">
      <alignment vertical="center"/>
    </xf>
    <xf numFmtId="0" fontId="41" fillId="0" borderId="0" xfId="0" applyFont="1" applyFill="1" applyBorder="1" applyAlignment="1">
      <alignment vertical="center"/>
    </xf>
    <xf numFmtId="0" fontId="46" fillId="0" borderId="0" xfId="0" applyFont="1" applyFill="1"/>
    <xf numFmtId="0" fontId="47" fillId="0" borderId="0" xfId="0" applyFont="1" applyFill="1" applyAlignment="1">
      <alignment horizontal="justify"/>
    </xf>
    <xf numFmtId="165" fontId="25" fillId="0" borderId="0" xfId="0" applyNumberFormat="1" applyFont="1" applyFill="1" applyBorder="1" applyAlignment="1">
      <alignment horizontal="center"/>
    </xf>
    <xf numFmtId="166" fontId="25" fillId="0" borderId="0" xfId="0" applyNumberFormat="1" applyFont="1" applyFill="1" applyBorder="1" applyAlignment="1">
      <alignment horizontal="right"/>
    </xf>
    <xf numFmtId="166" fontId="25" fillId="0" borderId="0" xfId="0" applyNumberFormat="1" applyFont="1" applyFill="1" applyBorder="1" applyAlignment="1">
      <alignment horizontal="center"/>
    </xf>
    <xf numFmtId="166" fontId="25" fillId="0" borderId="0" xfId="0" applyNumberFormat="1" applyFont="1" applyFill="1" applyBorder="1" applyAlignment="1"/>
    <xf numFmtId="167" fontId="41" fillId="0" borderId="0" xfId="0" applyNumberFormat="1" applyFont="1" applyFill="1" applyAlignment="1"/>
    <xf numFmtId="167" fontId="41" fillId="0" borderId="0" xfId="0" applyNumberFormat="1" applyFont="1" applyFill="1" applyBorder="1" applyAlignment="1"/>
    <xf numFmtId="3" fontId="41" fillId="0" borderId="0" xfId="0" applyNumberFormat="1" applyFont="1" applyFill="1" applyAlignment="1"/>
    <xf numFmtId="167" fontId="41" fillId="0" borderId="0" xfId="1" quotePrefix="1" applyNumberFormat="1" applyFont="1" applyFill="1" applyAlignment="1">
      <alignment horizontal="center"/>
    </xf>
    <xf numFmtId="167" fontId="41" fillId="0" borderId="0" xfId="1" applyNumberFormat="1" applyFont="1" applyFill="1" applyAlignment="1"/>
    <xf numFmtId="167" fontId="41" fillId="0" borderId="0" xfId="1" applyNumberFormat="1" applyFont="1" applyFill="1" applyBorder="1" applyAlignment="1"/>
    <xf numFmtId="167" fontId="41" fillId="0" borderId="0" xfId="1" quotePrefix="1" applyNumberFormat="1" applyFont="1" applyFill="1" applyAlignment="1">
      <alignment horizontal="right"/>
    </xf>
    <xf numFmtId="3" fontId="41" fillId="0" borderId="0" xfId="0" applyNumberFormat="1" applyFont="1" applyFill="1" applyBorder="1"/>
    <xf numFmtId="167" fontId="41" fillId="0" borderId="0" xfId="1" quotePrefix="1" applyNumberFormat="1" applyFont="1" applyFill="1" applyBorder="1" applyAlignment="1">
      <alignment horizontal="center"/>
    </xf>
    <xf numFmtId="0" fontId="41" fillId="0" borderId="0" xfId="0" applyFont="1" applyFill="1" applyAlignment="1">
      <alignment horizontal="right"/>
    </xf>
    <xf numFmtId="3" fontId="41" fillId="0" borderId="6" xfId="0" applyNumberFormat="1" applyFont="1" applyFill="1" applyBorder="1"/>
    <xf numFmtId="167" fontId="41" fillId="0" borderId="6" xfId="1" applyNumberFormat="1" applyFont="1" applyFill="1" applyBorder="1" applyAlignment="1"/>
    <xf numFmtId="167" fontId="41" fillId="0" borderId="0" xfId="1" quotePrefix="1" applyNumberFormat="1" applyFont="1" applyFill="1" applyBorder="1" applyAlignment="1">
      <alignment horizontal="right"/>
    </xf>
    <xf numFmtId="3" fontId="41" fillId="0" borderId="6" xfId="0" applyNumberFormat="1" applyFont="1" applyFill="1" applyBorder="1" applyAlignment="1"/>
    <xf numFmtId="3" fontId="41" fillId="0" borderId="0" xfId="0" applyNumberFormat="1" applyFont="1" applyFill="1" applyBorder="1" applyAlignment="1"/>
    <xf numFmtId="167" fontId="41" fillId="0" borderId="0" xfId="0" applyNumberFormat="1" applyFont="1" applyFill="1"/>
    <xf numFmtId="167" fontId="41" fillId="0" borderId="6" xfId="1" applyNumberFormat="1" applyFont="1" applyFill="1" applyBorder="1" applyAlignment="1">
      <alignment horizontal="right"/>
    </xf>
    <xf numFmtId="3" fontId="41" fillId="0" borderId="15" xfId="0" applyNumberFormat="1" applyFont="1" applyFill="1" applyBorder="1"/>
    <xf numFmtId="167" fontId="41" fillId="0" borderId="15" xfId="1" applyNumberFormat="1" applyFont="1" applyFill="1" applyBorder="1" applyAlignment="1"/>
    <xf numFmtId="167" fontId="41" fillId="0" borderId="15" xfId="1" applyNumberFormat="1" applyFont="1" applyFill="1" applyBorder="1" applyAlignment="1" applyProtection="1"/>
    <xf numFmtId="167" fontId="41" fillId="0" borderId="0" xfId="1" applyNumberFormat="1" applyFont="1" applyFill="1" applyBorder="1" applyAlignment="1" applyProtection="1"/>
    <xf numFmtId="39" fontId="41" fillId="0" borderId="0" xfId="1" applyNumberFormat="1" applyFont="1" applyFill="1" applyAlignment="1"/>
    <xf numFmtId="3" fontId="41" fillId="0" borderId="3" xfId="0" applyNumberFormat="1" applyFont="1" applyFill="1" applyBorder="1"/>
    <xf numFmtId="167" fontId="41" fillId="0" borderId="3" xfId="1" applyNumberFormat="1" applyFont="1" applyFill="1" applyBorder="1" applyAlignment="1" applyProtection="1"/>
    <xf numFmtId="0" fontId="41" fillId="0" borderId="0" xfId="0" applyFont="1" applyFill="1" applyBorder="1"/>
    <xf numFmtId="37" fontId="41" fillId="0" borderId="0" xfId="1" applyNumberFormat="1" applyFont="1" applyFill="1" applyAlignment="1"/>
    <xf numFmtId="3" fontId="25" fillId="0" borderId="0" xfId="0" applyNumberFormat="1" applyFont="1" applyFill="1" applyAlignment="1"/>
    <xf numFmtId="167" fontId="25" fillId="0" borderId="0" xfId="0" applyNumberFormat="1" applyFont="1" applyFill="1" applyAlignment="1"/>
    <xf numFmtId="0" fontId="41" fillId="0" borderId="0" xfId="0" applyNumberFormat="1" applyFont="1" applyFill="1" applyAlignment="1">
      <alignment horizontal="center"/>
    </xf>
    <xf numFmtId="3" fontId="48" fillId="0" borderId="0" xfId="0" applyNumberFormat="1" applyFont="1" applyFill="1" applyAlignment="1"/>
    <xf numFmtId="0" fontId="25" fillId="0" borderId="0" xfId="0" applyNumberFormat="1" applyFont="1" applyFill="1" applyAlignment="1"/>
    <xf numFmtId="0" fontId="25" fillId="0" borderId="0" xfId="0" applyFont="1" applyFill="1" applyBorder="1"/>
    <xf numFmtId="167" fontId="41" fillId="0" borderId="8" xfId="1" applyNumberFormat="1" applyFont="1" applyFill="1" applyBorder="1" applyAlignment="1" applyProtection="1"/>
    <xf numFmtId="0" fontId="41" fillId="0" borderId="0" xfId="0" applyNumberFormat="1" applyFont="1" applyFill="1" applyAlignment="1"/>
    <xf numFmtId="3" fontId="41" fillId="0" borderId="7" xfId="0" applyNumberFormat="1" applyFont="1" applyFill="1" applyBorder="1"/>
    <xf numFmtId="0" fontId="46" fillId="0" borderId="9" xfId="0" applyFont="1" applyFill="1" applyBorder="1" applyAlignment="1">
      <alignment horizontal="center"/>
    </xf>
    <xf numFmtId="0" fontId="46" fillId="0" borderId="5" xfId="0" applyFont="1" applyFill="1" applyBorder="1" applyAlignment="1">
      <alignment horizontal="center"/>
    </xf>
    <xf numFmtId="0" fontId="46" fillId="0" borderId="10" xfId="0" applyFont="1" applyFill="1" applyBorder="1" applyAlignment="1">
      <alignment horizontal="center"/>
    </xf>
    <xf numFmtId="0" fontId="43" fillId="0" borderId="11" xfId="0" applyFont="1" applyFill="1" applyBorder="1" applyAlignment="1">
      <alignment horizontal="center"/>
    </xf>
    <xf numFmtId="0" fontId="43" fillId="0" borderId="0" xfId="0" applyFont="1" applyFill="1" applyBorder="1" applyAlignment="1">
      <alignment horizontal="center"/>
    </xf>
    <xf numFmtId="0" fontId="43" fillId="0" borderId="12" xfId="0" applyFont="1" applyFill="1" applyBorder="1" applyAlignment="1">
      <alignment horizontal="center"/>
    </xf>
    <xf numFmtId="0" fontId="41" fillId="0" borderId="0" xfId="0" applyFont="1" applyFill="1" applyAlignment="1">
      <alignment horizontal="left" wrapText="1"/>
    </xf>
    <xf numFmtId="0" fontId="25" fillId="0" borderId="1" xfId="0" applyFont="1" applyBorder="1" applyAlignment="1">
      <alignment horizontal="center" vertical="center"/>
    </xf>
    <xf numFmtId="172" fontId="29" fillId="0" borderId="0" xfId="0" applyNumberFormat="1" applyFont="1" applyAlignment="1">
      <alignment horizontal="right" vertical="top"/>
    </xf>
    <xf numFmtId="177" fontId="29" fillId="0" borderId="0" xfId="0" applyNumberFormat="1" applyFont="1" applyAlignment="1">
      <alignment horizontal="right" vertical="top"/>
    </xf>
    <xf numFmtId="0" fontId="33" fillId="0" borderId="0" xfId="0" applyFont="1" applyAlignment="1">
      <alignment horizontal="left" vertical="top" wrapText="1"/>
    </xf>
    <xf numFmtId="0" fontId="29" fillId="0" borderId="0" xfId="0" applyFont="1" applyAlignment="1">
      <alignment horizontal="left" vertical="top" wrapText="1"/>
    </xf>
    <xf numFmtId="4" fontId="29" fillId="0" borderId="0" xfId="0" applyNumberFormat="1" applyFont="1" applyAlignment="1">
      <alignment horizontal="right" vertical="top"/>
    </xf>
    <xf numFmtId="0" fontId="32" fillId="0" borderId="0" xfId="0" applyFont="1" applyAlignment="1">
      <alignment horizontal="left" vertical="top" wrapText="1"/>
    </xf>
    <xf numFmtId="172" fontId="32" fillId="0" borderId="0" xfId="0" applyNumberFormat="1" applyFont="1" applyAlignment="1">
      <alignment horizontal="right" vertical="top"/>
    </xf>
    <xf numFmtId="4" fontId="32" fillId="0" borderId="0" xfId="0" applyNumberFormat="1" applyFont="1" applyAlignment="1">
      <alignment horizontal="right" vertical="top"/>
    </xf>
    <xf numFmtId="0" fontId="32" fillId="2" borderId="0" xfId="0" applyFont="1" applyFill="1" applyAlignment="1">
      <alignment horizontal="left" vertical="top" wrapText="1"/>
    </xf>
    <xf numFmtId="172" fontId="32" fillId="2" borderId="0" xfId="0" applyNumberFormat="1" applyFont="1" applyFill="1" applyAlignment="1">
      <alignment horizontal="right" vertical="top"/>
    </xf>
    <xf numFmtId="4" fontId="32" fillId="2" borderId="0" xfId="0" applyNumberFormat="1" applyFont="1" applyFill="1" applyAlignment="1">
      <alignment horizontal="right" vertical="top"/>
    </xf>
    <xf numFmtId="0" fontId="29" fillId="0" borderId="0" xfId="0" applyFont="1" applyAlignment="1">
      <alignment horizontal="right" vertical="top" wrapText="1"/>
    </xf>
    <xf numFmtId="14" fontId="29" fillId="0" borderId="0" xfId="0" applyNumberFormat="1" applyFont="1" applyAlignment="1">
      <alignment horizontal="left" vertical="top"/>
    </xf>
    <xf numFmtId="0" fontId="29" fillId="0" borderId="0" xfId="0" applyFont="1" applyAlignment="1">
      <alignment horizontal="center" vertical="top" wrapText="1"/>
    </xf>
    <xf numFmtId="14" fontId="29" fillId="0" borderId="0" xfId="0" applyNumberFormat="1" applyFont="1" applyAlignment="1">
      <alignment horizontal="right" vertical="top"/>
    </xf>
    <xf numFmtId="0" fontId="30" fillId="0" borderId="0" xfId="0" applyFont="1" applyAlignment="1">
      <alignment horizontal="left" vertical="top" wrapText="1"/>
    </xf>
    <xf numFmtId="0" fontId="31" fillId="24" borderId="0" xfId="0" applyFont="1" applyFill="1" applyAlignment="1">
      <alignment horizontal="right" vertical="top" wrapText="1"/>
    </xf>
    <xf numFmtId="0" fontId="5" fillId="0" borderId="1" xfId="0" applyFont="1" applyBorder="1" applyAlignment="1">
      <alignment horizontal="center" vertical="center"/>
    </xf>
    <xf numFmtId="0" fontId="9" fillId="21" borderId="0" xfId="0" applyFont="1" applyFill="1" applyAlignment="1">
      <alignment horizontal="left" vertical="top" wrapText="1"/>
    </xf>
    <xf numFmtId="172" fontId="9" fillId="21" borderId="0" xfId="0" applyNumberFormat="1" applyFont="1" applyFill="1" applyAlignment="1">
      <alignment horizontal="right" vertical="top"/>
    </xf>
    <xf numFmtId="4" fontId="9" fillId="21" borderId="0" xfId="0" applyNumberFormat="1" applyFont="1" applyFill="1" applyAlignment="1">
      <alignment horizontal="right" vertical="top"/>
    </xf>
    <xf numFmtId="0" fontId="9" fillId="23" borderId="0" xfId="0" applyFont="1" applyFill="1" applyAlignment="1">
      <alignment horizontal="left" vertical="top" wrapText="1"/>
    </xf>
    <xf numFmtId="172" fontId="9" fillId="23" borderId="0" xfId="0" applyNumberFormat="1" applyFont="1" applyFill="1" applyAlignment="1">
      <alignment horizontal="right" vertical="top"/>
    </xf>
    <xf numFmtId="4" fontId="9" fillId="23" borderId="0" xfId="0" applyNumberFormat="1" applyFont="1" applyFill="1" applyAlignment="1">
      <alignment horizontal="right" vertical="top"/>
    </xf>
    <xf numFmtId="0" fontId="9" fillId="13" borderId="0" xfId="0" applyFont="1" applyFill="1" applyAlignment="1">
      <alignment horizontal="left" vertical="top" wrapText="1"/>
    </xf>
    <xf numFmtId="172" fontId="9" fillId="13" borderId="0" xfId="0" applyNumberFormat="1" applyFont="1" applyFill="1" applyAlignment="1">
      <alignment horizontal="right" vertical="top"/>
    </xf>
    <xf numFmtId="4" fontId="9" fillId="13" borderId="0" xfId="0" applyNumberFormat="1" applyFont="1" applyFill="1" applyAlignment="1">
      <alignment horizontal="right" vertical="top"/>
    </xf>
    <xf numFmtId="0" fontId="9" fillId="22" borderId="0" xfId="0" applyFont="1" applyFill="1" applyAlignment="1">
      <alignment horizontal="left" vertical="top" wrapText="1"/>
    </xf>
    <xf numFmtId="172" fontId="9" fillId="22" borderId="0" xfId="0" applyNumberFormat="1" applyFont="1" applyFill="1" applyAlignment="1">
      <alignment horizontal="right" vertical="top"/>
    </xf>
    <xf numFmtId="4" fontId="9" fillId="22" borderId="0" xfId="0" applyNumberFormat="1" applyFont="1" applyFill="1" applyAlignment="1">
      <alignment horizontal="right" vertical="top"/>
    </xf>
    <xf numFmtId="0" fontId="9" fillId="6" borderId="0" xfId="0" applyFont="1" applyFill="1" applyAlignment="1">
      <alignment horizontal="left" vertical="top" wrapText="1"/>
    </xf>
    <xf numFmtId="172" fontId="9" fillId="6" borderId="0" xfId="0" applyNumberFormat="1" applyFont="1" applyFill="1" applyAlignment="1">
      <alignment horizontal="right" vertical="top"/>
    </xf>
    <xf numFmtId="4" fontId="9" fillId="6" borderId="0" xfId="0" applyNumberFormat="1" applyFont="1" applyFill="1" applyAlignment="1">
      <alignment horizontal="right" vertical="top"/>
    </xf>
    <xf numFmtId="0" fontId="9" fillId="19" borderId="0" xfId="0" applyFont="1" applyFill="1" applyAlignment="1">
      <alignment horizontal="left" vertical="top" wrapText="1"/>
    </xf>
    <xf numFmtId="172" fontId="9" fillId="19" borderId="0" xfId="0" applyNumberFormat="1" applyFont="1" applyFill="1" applyAlignment="1">
      <alignment horizontal="right" vertical="top"/>
    </xf>
    <xf numFmtId="4" fontId="9" fillId="19" borderId="0" xfId="0" applyNumberFormat="1" applyFont="1" applyFill="1" applyAlignment="1">
      <alignment horizontal="right" vertical="top"/>
    </xf>
    <xf numFmtId="0" fontId="9" fillId="2" borderId="0" xfId="0" applyFont="1" applyFill="1" applyAlignment="1">
      <alignment horizontal="left" vertical="top" wrapText="1"/>
    </xf>
    <xf numFmtId="172" fontId="9" fillId="2" borderId="0" xfId="0" applyNumberFormat="1" applyFont="1" applyFill="1" applyAlignment="1">
      <alignment horizontal="right" vertical="top"/>
    </xf>
    <xf numFmtId="4" fontId="9" fillId="2" borderId="0" xfId="0" applyNumberFormat="1" applyFont="1" applyFill="1" applyAlignment="1">
      <alignment horizontal="right" vertical="top"/>
    </xf>
    <xf numFmtId="0" fontId="9" fillId="0" borderId="0" xfId="0" applyFont="1" applyAlignment="1">
      <alignment horizontal="left" vertical="top" wrapText="1"/>
    </xf>
    <xf numFmtId="172" fontId="9" fillId="0" borderId="0" xfId="0" applyNumberFormat="1" applyFont="1" applyAlignment="1">
      <alignment horizontal="right" vertical="top"/>
    </xf>
    <xf numFmtId="4" fontId="9" fillId="0" borderId="0" xfId="0" applyNumberFormat="1" applyFont="1" applyAlignment="1">
      <alignment horizontal="right" vertical="top"/>
    </xf>
    <xf numFmtId="0" fontId="9" fillId="4" borderId="0" xfId="0" applyFont="1" applyFill="1" applyAlignment="1">
      <alignment horizontal="left" vertical="top" wrapText="1"/>
    </xf>
    <xf numFmtId="172" fontId="9" fillId="4" borderId="0" xfId="0" applyNumberFormat="1" applyFont="1" applyFill="1" applyAlignment="1">
      <alignment horizontal="right" vertical="top"/>
    </xf>
    <xf numFmtId="4" fontId="9" fillId="4" borderId="0" xfId="0" applyNumberFormat="1" applyFont="1" applyFill="1" applyAlignment="1">
      <alignment horizontal="right" vertical="top"/>
    </xf>
    <xf numFmtId="0" fontId="9" fillId="20" borderId="0" xfId="0" applyFont="1" applyFill="1" applyAlignment="1">
      <alignment horizontal="left" vertical="top" wrapText="1"/>
    </xf>
    <xf numFmtId="172" fontId="9" fillId="20" borderId="0" xfId="0" applyNumberFormat="1" applyFont="1" applyFill="1" applyAlignment="1">
      <alignment horizontal="right" vertical="top"/>
    </xf>
    <xf numFmtId="4" fontId="9" fillId="20" borderId="0" xfId="0" applyNumberFormat="1" applyFont="1" applyFill="1" applyAlignment="1">
      <alignment horizontal="right" vertical="top"/>
    </xf>
    <xf numFmtId="0" fontId="9" fillId="8" borderId="0" xfId="0" applyFont="1" applyFill="1" applyAlignment="1">
      <alignment horizontal="left" vertical="top" wrapText="1"/>
    </xf>
    <xf numFmtId="172" fontId="9" fillId="8" borderId="0" xfId="0" applyNumberFormat="1" applyFont="1" applyFill="1" applyAlignment="1">
      <alignment horizontal="right" vertical="top"/>
    </xf>
    <xf numFmtId="4" fontId="9" fillId="8" borderId="0" xfId="0" applyNumberFormat="1" applyFont="1" applyFill="1" applyAlignment="1">
      <alignment horizontal="right" vertical="top"/>
    </xf>
    <xf numFmtId="0" fontId="11" fillId="0" borderId="0" xfId="0" applyFont="1" applyAlignment="1">
      <alignment horizontal="left" vertical="top" wrapText="1"/>
    </xf>
    <xf numFmtId="0" fontId="21" fillId="9" borderId="0" xfId="0" applyFont="1" applyFill="1" applyAlignment="1">
      <alignment horizontal="right" vertical="top" wrapText="1"/>
    </xf>
    <xf numFmtId="0" fontId="9" fillId="0" borderId="0" xfId="0" applyFont="1" applyAlignment="1">
      <alignment horizontal="right" vertical="top" wrapText="1"/>
    </xf>
    <xf numFmtId="14" fontId="9" fillId="0" borderId="0" xfId="0" applyNumberFormat="1" applyFont="1" applyAlignment="1">
      <alignment horizontal="left" vertical="top"/>
    </xf>
    <xf numFmtId="0" fontId="9" fillId="0" borderId="0" xfId="0" applyFont="1" applyAlignment="1">
      <alignment horizontal="center" vertical="top" wrapText="1"/>
    </xf>
    <xf numFmtId="14" fontId="9" fillId="0" borderId="0" xfId="0" applyNumberFormat="1" applyFont="1" applyAlignment="1">
      <alignment horizontal="right" vertical="top"/>
    </xf>
    <xf numFmtId="177" fontId="9" fillId="0" borderId="0" xfId="0" applyNumberFormat="1" applyFont="1" applyAlignment="1">
      <alignment horizontal="right" vertical="top"/>
    </xf>
    <xf numFmtId="172" fontId="9" fillId="0" borderId="0" xfId="0" applyNumberFormat="1" applyFont="1" applyAlignment="1">
      <alignment horizontal="center" vertical="top"/>
    </xf>
    <xf numFmtId="0" fontId="26" fillId="0" borderId="0" xfId="0" applyFont="1" applyAlignment="1">
      <alignment horizontal="left" vertical="top" wrapText="1"/>
    </xf>
    <xf numFmtId="0" fontId="10" fillId="0" borderId="0" xfId="0" applyFont="1" applyAlignment="1">
      <alignment horizontal="left" vertical="top" wrapText="1"/>
    </xf>
    <xf numFmtId="172" fontId="10" fillId="0" borderId="0" xfId="0" applyNumberFormat="1" applyFont="1" applyAlignment="1">
      <alignment horizontal="right" vertical="top"/>
    </xf>
    <xf numFmtId="4" fontId="10" fillId="0" borderId="0" xfId="0" applyNumberFormat="1" applyFont="1" applyAlignment="1">
      <alignment horizontal="right" vertical="top"/>
    </xf>
    <xf numFmtId="177" fontId="10" fillId="0" borderId="0" xfId="0" applyNumberFormat="1" applyFont="1" applyAlignment="1">
      <alignment horizontal="right" vertical="top"/>
    </xf>
    <xf numFmtId="0" fontId="17" fillId="2" borderId="0" xfId="0" applyFont="1" applyFill="1" applyAlignment="1">
      <alignment horizontal="center"/>
    </xf>
    <xf numFmtId="0" fontId="17" fillId="2" borderId="0" xfId="0" applyFont="1" applyFill="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horizontal="center" vertical="center" wrapText="1"/>
    </xf>
    <xf numFmtId="0" fontId="13" fillId="25" borderId="0" xfId="0" applyFont="1" applyFill="1" applyAlignment="1">
      <alignment vertical="center" wrapText="1"/>
    </xf>
    <xf numFmtId="0" fontId="12" fillId="25" borderId="0" xfId="0" applyFont="1" applyFill="1" applyAlignment="1">
      <alignment horizontal="center" vertical="center" wrapText="1"/>
    </xf>
    <xf numFmtId="0" fontId="12" fillId="25" borderId="1" xfId="0" applyFont="1" applyFill="1" applyBorder="1" applyAlignment="1">
      <alignment horizontal="center" vertical="center" wrapText="1"/>
    </xf>
    <xf numFmtId="0" fontId="22" fillId="0" borderId="6" xfId="8" applyFont="1" applyBorder="1" applyAlignment="1">
      <alignment horizontal="center"/>
    </xf>
    <xf numFmtId="0" fontId="22" fillId="0" borderId="6" xfId="4" applyFont="1" applyBorder="1" applyAlignment="1">
      <alignment horizontal="center"/>
    </xf>
    <xf numFmtId="0" fontId="22" fillId="0" borderId="6" xfId="4" applyFont="1" applyFill="1" applyBorder="1" applyAlignment="1">
      <alignment horizontal="center"/>
    </xf>
    <xf numFmtId="0" fontId="21" fillId="3" borderId="0" xfId="0" applyFont="1" applyFill="1" applyAlignment="1">
      <alignment horizontal="left" vertical="top"/>
    </xf>
    <xf numFmtId="0" fontId="9" fillId="16" borderId="0" xfId="0" applyFont="1" applyFill="1" applyAlignment="1">
      <alignment horizontal="left" vertical="top" wrapText="1"/>
    </xf>
    <xf numFmtId="0" fontId="21" fillId="16" borderId="0" xfId="0" applyFont="1" applyFill="1" applyAlignment="1">
      <alignment horizontal="left" vertical="top"/>
    </xf>
    <xf numFmtId="4" fontId="21" fillId="0" borderId="0" xfId="0" applyNumberFormat="1" applyFont="1" applyAlignment="1">
      <alignment horizontal="right" vertical="top"/>
    </xf>
    <xf numFmtId="0" fontId="21" fillId="4" borderId="0" xfId="0" applyFont="1" applyFill="1" applyAlignment="1">
      <alignment horizontal="left" vertical="top"/>
    </xf>
    <xf numFmtId="0" fontId="9" fillId="3" borderId="0" xfId="0" applyFont="1" applyFill="1" applyAlignment="1">
      <alignment horizontal="left" vertical="top" wrapText="1"/>
    </xf>
    <xf numFmtId="0" fontId="9" fillId="18" borderId="0" xfId="0" applyFont="1" applyFill="1" applyAlignment="1">
      <alignment horizontal="left" vertical="top" wrapText="1"/>
    </xf>
    <xf numFmtId="0" fontId="21" fillId="18" borderId="0" xfId="0" applyFont="1" applyFill="1" applyAlignment="1">
      <alignment horizontal="left" vertical="top"/>
    </xf>
    <xf numFmtId="0" fontId="21" fillId="2" borderId="0" xfId="0" applyFont="1" applyFill="1" applyAlignment="1">
      <alignment horizontal="left" vertical="top"/>
    </xf>
    <xf numFmtId="0" fontId="9" fillId="17" borderId="0" xfId="0" applyFont="1" applyFill="1" applyAlignment="1">
      <alignment horizontal="left" vertical="top" wrapText="1"/>
    </xf>
    <xf numFmtId="0" fontId="21" fillId="17" borderId="0" xfId="0" applyFont="1" applyFill="1" applyAlignment="1">
      <alignment horizontal="left" vertical="top"/>
    </xf>
    <xf numFmtId="0" fontId="21" fillId="19" borderId="0" xfId="0" applyFont="1" applyFill="1" applyAlignment="1">
      <alignment horizontal="left" vertical="top"/>
    </xf>
    <xf numFmtId="0" fontId="22" fillId="0" borderId="0" xfId="0" applyFont="1" applyAlignment="1">
      <alignment horizontal="left" vertical="top" wrapText="1"/>
    </xf>
    <xf numFmtId="0" fontId="21" fillId="6" borderId="0" xfId="0" applyFont="1" applyFill="1" applyAlignment="1">
      <alignment horizontal="left" vertical="top"/>
    </xf>
    <xf numFmtId="0" fontId="21" fillId="0" borderId="0" xfId="0" applyFont="1" applyAlignment="1">
      <alignment horizontal="left" vertical="top" wrapText="1"/>
    </xf>
    <xf numFmtId="0" fontId="10" fillId="0" borderId="0" xfId="0" applyFont="1" applyAlignment="1">
      <alignment horizontal="center" vertical="top" wrapText="1"/>
    </xf>
    <xf numFmtId="0" fontId="9" fillId="15" borderId="0" xfId="0" applyFont="1" applyFill="1" applyAlignment="1">
      <alignment horizontal="left" vertical="top" wrapText="1"/>
    </xf>
    <xf numFmtId="0" fontId="21" fillId="15" borderId="0" xfId="0" applyFont="1" applyFill="1" applyAlignment="1">
      <alignment horizontal="left" vertical="top"/>
    </xf>
    <xf numFmtId="0" fontId="9" fillId="7" borderId="0" xfId="0" applyFont="1" applyFill="1" applyAlignment="1">
      <alignment horizontal="left" vertical="top" wrapText="1"/>
    </xf>
    <xf numFmtId="0" fontId="21" fillId="7" borderId="0" xfId="0" applyFont="1" applyFill="1" applyAlignment="1">
      <alignment horizontal="left" vertical="top"/>
    </xf>
    <xf numFmtId="14" fontId="25" fillId="0" borderId="1" xfId="0" applyNumberFormat="1" applyFont="1" applyFill="1" applyBorder="1" applyAlignment="1">
      <alignment horizontal="center"/>
    </xf>
    <xf numFmtId="0" fontId="42" fillId="0" borderId="0" xfId="0" applyFont="1" applyFill="1" applyAlignment="1">
      <alignment horizontal="center"/>
    </xf>
    <xf numFmtId="0" fontId="47" fillId="0" borderId="0" xfId="0" applyFont="1" applyFill="1" applyAlignment="1">
      <alignment horizontal="center"/>
    </xf>
    <xf numFmtId="0" fontId="25" fillId="0" borderId="0" xfId="0" applyNumberFormat="1" applyFont="1" applyFill="1" applyAlignment="1">
      <alignment horizontal="center"/>
    </xf>
    <xf numFmtId="0" fontId="46" fillId="0" borderId="0" xfId="0" applyFont="1" applyFill="1" applyAlignment="1">
      <alignment horizontal="center"/>
    </xf>
    <xf numFmtId="0" fontId="18" fillId="0" borderId="0" xfId="0" applyFont="1" applyFill="1" applyAlignment="1">
      <alignment horizontal="center"/>
    </xf>
    <xf numFmtId="0" fontId="19" fillId="0" borderId="0" xfId="0" applyFont="1" applyFill="1" applyBorder="1" applyAlignment="1">
      <alignment horizontal="center"/>
    </xf>
    <xf numFmtId="0" fontId="42" fillId="0" borderId="0" xfId="0" applyFont="1" applyFill="1" applyBorder="1" applyAlignment="1">
      <alignment horizontal="center"/>
    </xf>
    <xf numFmtId="0" fontId="47" fillId="0" borderId="0" xfId="0" applyFont="1" applyFill="1" applyBorder="1" applyAlignment="1">
      <alignment horizontal="center"/>
    </xf>
    <xf numFmtId="14" fontId="25" fillId="0" borderId="0" xfId="0" applyNumberFormat="1" applyFont="1" applyFill="1" applyBorder="1" applyAlignment="1">
      <alignment horizontal="center"/>
    </xf>
    <xf numFmtId="0" fontId="25" fillId="0" borderId="0" xfId="0" applyFont="1" applyFill="1" applyBorder="1" applyAlignment="1">
      <alignment horizontal="center"/>
    </xf>
    <xf numFmtId="0" fontId="25" fillId="0" borderId="0" xfId="0" applyNumberFormat="1" applyFont="1" applyFill="1" applyBorder="1" applyAlignment="1">
      <alignment horizontal="center"/>
    </xf>
    <xf numFmtId="0" fontId="46" fillId="0" borderId="0" xfId="0" applyFont="1" applyFill="1" applyBorder="1" applyAlignment="1">
      <alignment horizontal="center"/>
    </xf>
  </cellXfs>
  <cellStyles count="9">
    <cellStyle name="Moeda 2" xfId="6"/>
    <cellStyle name="Normal" xfId="0" builtinId="0"/>
    <cellStyle name="Normal 2" xfId="4"/>
    <cellStyle name="Normal 2 2" xfId="8"/>
    <cellStyle name="Normal 4" xfId="2"/>
    <cellStyle name="Separador de milhares 2 2" xfId="5"/>
    <cellStyle name="Vírgula" xfId="3" builtinId="3"/>
    <cellStyle name="Vírgula 2" xfId="1"/>
    <cellStyle name="Vírgula 4" xfId="7"/>
  </cellStyles>
  <dxfs count="1">
    <dxf>
      <fill>
        <patternFill patternType="solid">
          <fgColor rgb="FF000000"/>
          <bgColor rgb="FFFFFFFF"/>
        </patternFill>
      </fill>
    </dxf>
  </dxfs>
  <tableStyles count="0" defaultTableStyle="TableStyleMedium2" defaultPivotStyle="PivotStyleLight16"/>
  <colors>
    <mruColors>
      <color rgb="FFFF9900"/>
      <color rgb="FFCCFF33"/>
      <color rgb="FF99FFCC"/>
      <color rgb="FF00FFCC"/>
      <color rgb="FF33CCCC"/>
      <color rgb="FF996600"/>
      <color rgb="FFCC99FF"/>
      <color rgb="FFFFCCFF"/>
      <color rgb="FFFF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ME%20ENERG&#201;TICA\BALAN&#199;O%202019%20-%20DMEE\PAC%20SOCIET&#193;RIA%202019\Raz&#227;o%20P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ME%20ENERG&#201;TICA\BALAN&#199;O%202020%20-%20DMEE\Raz&#227;o%20conta%2024%20-%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ME%20ENERG&#201;TICA\BALAN&#199;O%202019%20-%20DMEE\LAN&#199;AMENTOS%20FINAIS%20DO%20EXERCICIO\EXERCICIO%202019\Apura&#231;&#227;o%20de%20IRPJ-CSLL-20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ME%20ENERG&#201;TICA\BALAN&#199;O%202018%20-%20DMEE\LAN&#199;AMENTOS%20FINAIS%20DO%20EXERCICIO\Apura&#231;&#227;o%20de%20IRPJ-CSLL-2018%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O8">
            <v>7181255.9199999999</v>
          </cell>
          <cell r="P8">
            <v>0</v>
          </cell>
        </row>
        <row r="83">
          <cell r="N83">
            <v>7181255.9199999999</v>
          </cell>
        </row>
        <row r="88">
          <cell r="N88">
            <v>10387438.289999999</v>
          </cell>
        </row>
        <row r="137">
          <cell r="N137">
            <v>5387928.3600000003</v>
          </cell>
        </row>
        <row r="170">
          <cell r="N170">
            <v>2796937.36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2">
          <cell r="O82">
            <v>11396.46</v>
          </cell>
        </row>
        <row r="87">
          <cell r="N87">
            <v>4939.4399999999996</v>
          </cell>
        </row>
        <row r="90">
          <cell r="N90">
            <v>46.63</v>
          </cell>
        </row>
        <row r="98">
          <cell r="O98">
            <v>46784.06</v>
          </cell>
          <cell r="P98">
            <v>0</v>
          </cell>
        </row>
        <row r="101">
          <cell r="N101">
            <v>5299344.5</v>
          </cell>
        </row>
        <row r="104">
          <cell r="N104">
            <v>1000000</v>
          </cell>
        </row>
        <row r="113">
          <cell r="N113">
            <v>2375330.9700000002</v>
          </cell>
        </row>
        <row r="119">
          <cell r="N119">
            <v>2000000</v>
          </cell>
        </row>
        <row r="132">
          <cell r="N132">
            <v>3621673.72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acum 02.2019"/>
      <sheetName val="bal mensal 02.2019"/>
      <sheetName val="bal acum 03.2019"/>
      <sheetName val="bal mensal 03.2019"/>
      <sheetName val="anotações (2)"/>
      <sheetName val="RTT"/>
      <sheetName val="anotações"/>
      <sheetName val="multas"/>
      <sheetName val="assoc classe"/>
      <sheetName val="fupaj"/>
      <sheetName val="equivalencia"/>
      <sheetName val="JCP"/>
      <sheetName val="INCENTIVOS"/>
      <sheetName val="conta 313 314"/>
      <sheetName val="conta 7106 7103"/>
      <sheetName val="VR ESTIMATIVAS"/>
      <sheetName val="Apuração 2018"/>
      <sheetName val="Bal acum 04.2019"/>
      <sheetName val="Bal mensal 04.2019"/>
      <sheetName val="Bal mensal 05.19"/>
      <sheetName val="Bal acum 05.19"/>
      <sheetName val="Bal mensal 09.19"/>
      <sheetName val="Bal acum 09.19"/>
      <sheetName val="IRPJ-CSLL - receita bruta"/>
      <sheetName val="Bal mensal 08.19"/>
      <sheetName val="Bal acum 08.19"/>
      <sheetName val="Bal mensal 07.19"/>
      <sheetName val="Bal mensal 06.19"/>
      <sheetName val="Bal acum 06.19"/>
      <sheetName val="Bal mensal 10.19"/>
      <sheetName val="Bal acum 10.19"/>
      <sheetName val="LOTE IR CSL"/>
      <sheetName val="Bal mensal 12.19"/>
      <sheetName val="Bal acum 12.19"/>
      <sheetName val="APURAÇÃO DEZ.2019"/>
      <sheetName val="AFADFUPAJ"/>
      <sheetName val="Bal mensal 11.19"/>
      <sheetName val="Bal acum 11.19"/>
      <sheetName val="PROVISÃO NOV 2019"/>
      <sheetName val="PROV. OUT 2019"/>
      <sheetName val="PROV. SET 2019"/>
      <sheetName val="PROV. AGO 2019"/>
      <sheetName val="PROV. JUL 2019"/>
      <sheetName val="Bal acum 07.19"/>
      <sheetName val="PROV. JUN 2019"/>
      <sheetName val="PROV. MAI 2019"/>
      <sheetName val="PROV. ABR 2019"/>
      <sheetName val="PROV. MAR 2019"/>
      <sheetName val="PROV. FEV 2019"/>
      <sheetName val="PROV. JAN 2019"/>
      <sheetName val="2018 APURAÇÃO"/>
      <sheetName val="bal dez.2018"/>
      <sheetName val="PROV. DEZ 2018"/>
      <sheetName val="PROV. NOV 2018"/>
      <sheetName val="PROV. OUT 2018"/>
      <sheetName val="PROV. SET 2018"/>
      <sheetName val="PROV. AGO 2018"/>
      <sheetName val="PROV. JUL 2018"/>
      <sheetName val="PROV. JUN 2018"/>
      <sheetName val="PROV. MAI 2018 - retificadora"/>
      <sheetName val="PROV. MAI 2018"/>
      <sheetName val="PROV.ABR 2018"/>
      <sheetName val="PROV.MAR 2018"/>
      <sheetName val="PROV.FEV 2018"/>
      <sheetName val="PROV.JAN 2018"/>
      <sheetName val="Apuração 2017"/>
      <sheetName val="PROV.DEZ 2017"/>
      <sheetName val="PROV.NOV 2017"/>
      <sheetName val="PROV.OUT 2017"/>
      <sheetName val="PROV.SET 2017"/>
      <sheetName val="PROV.AGO 2017"/>
      <sheetName val="PROV.JUL 2017 "/>
      <sheetName val="PROV.JUN 2017"/>
      <sheetName val="PROV.Maio 2017"/>
      <sheetName val="PROV.ABR 2017"/>
      <sheetName val="PROV.MAR 2017"/>
      <sheetName val="PROV.FEV 2017"/>
      <sheetName val="PROV.JAN 2017"/>
      <sheetName val="DEZ 2016"/>
      <sheetName val="NOV 2016"/>
      <sheetName val="OUT 2016"/>
      <sheetName val="SET 2016 "/>
      <sheetName val="AGOSTO 2016"/>
      <sheetName val="JULHO 2016"/>
      <sheetName val="JUNHO 2016"/>
      <sheetName val="MAIO 2016"/>
      <sheetName val="ABRIL 2016"/>
      <sheetName val="MAR 2016"/>
      <sheetName val="FEV 2016"/>
      <sheetName val="JAN 2016"/>
      <sheetName val="LALUR NOV"/>
      <sheetName val="LALUR OUT"/>
      <sheetName val="LALUR SET"/>
      <sheetName val="LALUR Agos"/>
      <sheetName val="LALUR Julho"/>
      <sheetName val="LALUR Junho"/>
      <sheetName val="LALUR Maio"/>
      <sheetName val="LALUR ABR"/>
      <sheetName val="LALUR MAR"/>
      <sheetName val="LALUR FEV"/>
      <sheetName val="LALUR JAN"/>
      <sheetName val="IRPJ-CSLL NOV 2016"/>
      <sheetName val="IRPJ-CSLL OUT 2016"/>
      <sheetName val="IRPJ-CSLL SET 2016"/>
      <sheetName val="IRPJ-CSLL AGO 2016"/>
      <sheetName val="IRPJ-CSLL JULHO 2016"/>
      <sheetName val="IRPJ-CSLL JUNHO 2016"/>
      <sheetName val="IRPJ-CSLL MAIO 2016"/>
      <sheetName val="IRPJ-CSLL ABR 2016 "/>
      <sheetName val="IRPJ-CSLL MAR2016"/>
      <sheetName val="IRPJ-CSLL FEV 2016"/>
      <sheetName val="IRPJ-CSLL JAN 2016"/>
      <sheetName val="TICKMARKS"/>
      <sheetName val="Taxa Efetiva 2015"/>
      <sheetName val="Pla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F21">
            <v>28993.66</v>
          </cell>
          <cell r="H21">
            <v>31481.93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7">
          <cell r="C47">
            <v>53043383.159999996</v>
          </cell>
        </row>
        <row r="64">
          <cell r="C64">
            <v>7630882.5300000003</v>
          </cell>
        </row>
        <row r="76">
          <cell r="C76">
            <v>25796541.570571426</v>
          </cell>
        </row>
        <row r="83">
          <cell r="G83">
            <v>3463772.4119428578</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otações (2)"/>
      <sheetName val="2018 APURAÇÃO"/>
      <sheetName val="anotações"/>
      <sheetName val="RTT"/>
      <sheetName val="multas"/>
      <sheetName val="assoc classe"/>
      <sheetName val="fupaj"/>
      <sheetName val="equivalencia"/>
      <sheetName val="JCP"/>
      <sheetName val="INCENTIVOS"/>
      <sheetName val="Apuração 2018"/>
      <sheetName val="PAGTO IRPJ-CSLL 2018"/>
      <sheetName val="PROV. DEZ 2018"/>
      <sheetName val="PROV. NOV 2018"/>
      <sheetName val="PROV. OUT 2018"/>
      <sheetName val="PROV. SET 2018"/>
      <sheetName val="PROV. AGO 2018"/>
      <sheetName val="PROV. JUL 2018"/>
      <sheetName val="PROV. JUN 2018"/>
      <sheetName val="PROV. MAI 2018 - retificadora"/>
      <sheetName val="PROV. MAI 2018"/>
      <sheetName val="PROV.ABR 2018"/>
      <sheetName val="PROV.MAR 2018"/>
      <sheetName val="PROV.FEV 2018"/>
      <sheetName val="PROV.JAN 2018"/>
      <sheetName val="Apuração 2017"/>
      <sheetName val="PROV.DEZ 2017"/>
      <sheetName val="PROV.NOV 2017"/>
      <sheetName val="PROV.OUT 2017"/>
      <sheetName val="PROV.SET 2017"/>
      <sheetName val="PROV.AGO 2017"/>
      <sheetName val="PROV.JUL 2017 "/>
      <sheetName val="PROV.JUN 2017"/>
      <sheetName val="PROV.Maio 2017"/>
      <sheetName val="PROV.ABR 2017"/>
      <sheetName val="PROV.MAR 2017"/>
      <sheetName val="PROV.FEV 2017"/>
      <sheetName val="PROV.JAN 2017"/>
      <sheetName val="DEZ 2016"/>
      <sheetName val="NOV 2016"/>
      <sheetName val="OUT 2016"/>
      <sheetName val="SET 2016 "/>
      <sheetName val="AGOSTO 2016"/>
      <sheetName val="JULHO 2016"/>
      <sheetName val="JUNHO 2016"/>
      <sheetName val="MAIO 2016"/>
      <sheetName val="ABRIL 2016"/>
      <sheetName val="MAR 2016"/>
      <sheetName val="FEV 2016"/>
      <sheetName val="JAN 2016"/>
      <sheetName val="LALUR NOV"/>
      <sheetName val="LALUR OUT"/>
      <sheetName val="LALUR SET"/>
      <sheetName val="LALUR Agos"/>
      <sheetName val="LALUR Julho"/>
      <sheetName val="LALUR Junho"/>
      <sheetName val="LALUR Maio"/>
      <sheetName val="LALUR ABR"/>
      <sheetName val="LALUR MAR"/>
      <sheetName val="LALUR FEV"/>
      <sheetName val="LALUR JAN"/>
      <sheetName val="IRPJ-CSLL NOV 2016"/>
      <sheetName val="IRPJ-CSLL OUT 2016"/>
      <sheetName val="IRPJ-CSLL SET 2016"/>
      <sheetName val="IRPJ-CSLL AGO 2016"/>
      <sheetName val="IRPJ-CSLL JULHO 2016"/>
      <sheetName val="IRPJ-CSLL JUNHO 2016"/>
      <sheetName val="IRPJ-CSLL MAIO 2016"/>
      <sheetName val="IRPJ-CSLL ABR 2016 "/>
      <sheetName val="IRPJ-CSLL MAR2016"/>
      <sheetName val="IRPJ-CSLL FEV 2016"/>
      <sheetName val="IRPJ-CSLL JAN 2016"/>
      <sheetName val="TICKMARKS"/>
      <sheetName val="Taxa Efetiva 2015"/>
      <sheetName val="Plan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3">
          <cell r="G53">
            <v>40405555.969999999</v>
          </cell>
        </row>
        <row r="58">
          <cell r="C58">
            <v>7420353.3300000001</v>
          </cell>
        </row>
        <row r="62">
          <cell r="C62">
            <v>777.93</v>
          </cell>
        </row>
        <row r="64">
          <cell r="C64">
            <v>35893.440000000002</v>
          </cell>
        </row>
        <row r="77">
          <cell r="C77">
            <v>26630004.280571427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X180"/>
  <sheetViews>
    <sheetView tabSelected="1" zoomScaleNormal="100" zoomScaleSheetLayoutView="85" workbookViewId="0">
      <selection activeCell="B25" sqref="B25"/>
    </sheetView>
  </sheetViews>
  <sheetFormatPr defaultColWidth="14.140625" defaultRowHeight="12" x14ac:dyDescent="0.2"/>
  <cols>
    <col min="1" max="1" width="43.28515625" style="528" customWidth="1"/>
    <col min="2" max="2" width="9.140625" style="566" customWidth="1"/>
    <col min="3" max="3" width="2.140625" style="570" customWidth="1"/>
    <col min="4" max="4" width="17.140625" style="528" customWidth="1"/>
    <col min="5" max="5" width="1.28515625" style="528" customWidth="1"/>
    <col min="6" max="6" width="18.85546875" style="528" customWidth="1"/>
    <col min="7" max="7" width="1.28515625" style="528" customWidth="1"/>
    <col min="8" max="8" width="18.85546875" style="528" customWidth="1"/>
    <col min="9" max="9" width="6.140625" style="528" customWidth="1"/>
    <col min="10" max="10" width="14.140625" style="528"/>
    <col min="11" max="11" width="28.5703125" style="528" bestFit="1" customWidth="1"/>
    <col min="12" max="12" width="8.7109375" style="566" customWidth="1"/>
    <col min="13" max="13" width="2.140625" style="528" customWidth="1"/>
    <col min="14" max="14" width="13.28515625" style="528" customWidth="1"/>
    <col min="15" max="15" width="2" style="528" customWidth="1"/>
    <col min="16" max="16" width="17.5703125" style="528" bestFit="1" customWidth="1"/>
    <col min="17" max="17" width="2.7109375" style="528" customWidth="1"/>
    <col min="18" max="18" width="18" style="562" customWidth="1"/>
    <col min="19" max="19" width="2.5703125" style="562" customWidth="1"/>
    <col min="20" max="16384" width="14.140625" style="562"/>
  </cols>
  <sheetData>
    <row r="1" spans="1:19" s="86" customFormat="1" ht="15" x14ac:dyDescent="0.25">
      <c r="A1" s="453" t="s">
        <v>2167</v>
      </c>
      <c r="B1" s="545"/>
      <c r="C1" s="729"/>
      <c r="D1" s="529"/>
      <c r="E1" s="529"/>
      <c r="F1" s="529"/>
      <c r="G1" s="529"/>
      <c r="H1" s="529"/>
      <c r="I1" s="530"/>
      <c r="J1" s="530"/>
      <c r="K1" s="530"/>
      <c r="L1" s="728"/>
      <c r="M1" s="530"/>
      <c r="N1" s="530"/>
      <c r="O1" s="530"/>
      <c r="P1" s="530"/>
      <c r="Q1" s="530"/>
    </row>
    <row r="2" spans="1:19" s="86" customFormat="1" ht="15" customHeight="1" x14ac:dyDescent="0.25">
      <c r="A2" s="531" t="s">
        <v>2744</v>
      </c>
      <c r="B2" s="545"/>
      <c r="C2" s="729"/>
      <c r="D2" s="529"/>
      <c r="E2" s="529"/>
      <c r="F2" s="529"/>
      <c r="G2" s="529"/>
      <c r="H2" s="529"/>
      <c r="I2" s="530"/>
      <c r="J2" s="530"/>
      <c r="K2" s="530"/>
      <c r="L2" s="728"/>
      <c r="M2" s="530"/>
      <c r="N2" s="530"/>
      <c r="O2" s="530"/>
      <c r="P2" s="530"/>
      <c r="Q2" s="530"/>
    </row>
    <row r="3" spans="1:19" s="86" customFormat="1" ht="12.75" customHeight="1" x14ac:dyDescent="0.2">
      <c r="A3" s="532" t="s">
        <v>2168</v>
      </c>
      <c r="B3" s="724"/>
      <c r="C3" s="730"/>
      <c r="D3" s="533"/>
      <c r="E3" s="533"/>
      <c r="F3" s="533"/>
      <c r="G3" s="533"/>
      <c r="H3" s="533"/>
      <c r="I3" s="530"/>
      <c r="J3" s="530"/>
      <c r="K3" s="530"/>
      <c r="L3" s="728"/>
      <c r="M3" s="530"/>
      <c r="N3" s="530"/>
      <c r="O3" s="530"/>
      <c r="P3" s="530"/>
      <c r="Q3" s="530"/>
    </row>
    <row r="4" spans="1:19" ht="12.75" customHeight="1" x14ac:dyDescent="0.2">
      <c r="A4" s="579"/>
      <c r="B4" s="725"/>
      <c r="C4" s="731"/>
      <c r="D4" s="579"/>
      <c r="E4" s="579"/>
      <c r="F4" s="579"/>
      <c r="G4" s="579"/>
      <c r="H4" s="579"/>
    </row>
    <row r="5" spans="1:19" ht="27" customHeight="1" thickBot="1" x14ac:dyDescent="0.25">
      <c r="A5" s="549"/>
      <c r="B5" s="723" t="s">
        <v>5022</v>
      </c>
      <c r="C5" s="732"/>
      <c r="D5" s="135">
        <v>44196</v>
      </c>
      <c r="E5" s="580"/>
      <c r="F5" s="135">
        <v>43830</v>
      </c>
      <c r="G5" s="448"/>
      <c r="H5" s="135">
        <v>43466</v>
      </c>
      <c r="I5" s="559"/>
      <c r="J5" s="549"/>
      <c r="K5" s="549"/>
      <c r="L5" s="723" t="s">
        <v>5022</v>
      </c>
      <c r="M5" s="549"/>
      <c r="N5" s="135">
        <v>44196</v>
      </c>
      <c r="O5" s="580"/>
      <c r="P5" s="135">
        <v>43830</v>
      </c>
      <c r="Q5" s="580"/>
      <c r="R5" s="135">
        <v>43466</v>
      </c>
      <c r="S5" s="448"/>
    </row>
    <row r="6" spans="1:19" ht="14.25" customHeight="1" x14ac:dyDescent="0.2">
      <c r="A6" s="549"/>
      <c r="B6" s="548"/>
      <c r="C6" s="733"/>
      <c r="D6" s="549"/>
      <c r="E6" s="580"/>
      <c r="F6" s="581" t="s">
        <v>3056</v>
      </c>
      <c r="G6" s="581"/>
      <c r="H6" s="581" t="s">
        <v>3056</v>
      </c>
      <c r="I6" s="582"/>
      <c r="J6" s="549"/>
      <c r="K6" s="549"/>
      <c r="L6" s="548"/>
      <c r="M6" s="549"/>
      <c r="N6" s="549"/>
      <c r="O6" s="580"/>
      <c r="P6" s="581" t="s">
        <v>3056</v>
      </c>
      <c r="Q6" s="580"/>
      <c r="R6" s="581" t="s">
        <v>3056</v>
      </c>
      <c r="S6" s="581"/>
    </row>
    <row r="7" spans="1:19" ht="14.25" customHeight="1" x14ac:dyDescent="0.2">
      <c r="A7" s="549" t="s">
        <v>1</v>
      </c>
      <c r="B7" s="548"/>
      <c r="C7" s="733"/>
      <c r="D7" s="549"/>
      <c r="E7" s="580"/>
      <c r="F7" s="581"/>
      <c r="G7" s="581"/>
      <c r="H7" s="581"/>
      <c r="I7" s="559"/>
      <c r="J7" s="549" t="s">
        <v>14</v>
      </c>
      <c r="K7" s="549"/>
      <c r="L7" s="548"/>
      <c r="M7" s="549"/>
      <c r="N7" s="549"/>
      <c r="O7" s="580"/>
      <c r="P7" s="583"/>
      <c r="Q7" s="580"/>
    </row>
    <row r="8" spans="1:19" ht="14.25" customHeight="1" x14ac:dyDescent="0.2">
      <c r="A8" s="549"/>
      <c r="B8" s="548"/>
      <c r="C8" s="733"/>
      <c r="D8" s="549"/>
      <c r="E8" s="580"/>
      <c r="F8" s="581"/>
      <c r="G8" s="581"/>
      <c r="H8" s="581"/>
      <c r="I8" s="559"/>
      <c r="J8" s="549"/>
      <c r="K8" s="549"/>
      <c r="L8" s="548"/>
      <c r="M8" s="549"/>
      <c r="N8" s="549"/>
      <c r="O8" s="580"/>
      <c r="P8" s="583"/>
      <c r="Q8" s="580"/>
    </row>
    <row r="9" spans="1:19" ht="14.25" customHeight="1" x14ac:dyDescent="0.2">
      <c r="A9" s="549" t="s">
        <v>2</v>
      </c>
      <c r="B9" s="548"/>
      <c r="C9" s="733"/>
      <c r="D9" s="549"/>
      <c r="E9" s="549"/>
      <c r="F9" s="584"/>
      <c r="G9" s="584"/>
      <c r="H9" s="584"/>
      <c r="I9" s="549"/>
      <c r="J9" s="549" t="s">
        <v>2</v>
      </c>
      <c r="K9" s="549"/>
      <c r="L9" s="548"/>
      <c r="M9" s="549"/>
      <c r="N9" s="549"/>
      <c r="O9" s="549"/>
      <c r="P9" s="585"/>
      <c r="Q9" s="549"/>
      <c r="R9" s="586"/>
      <c r="S9" s="586"/>
    </row>
    <row r="10" spans="1:19" ht="14.25" customHeight="1" x14ac:dyDescent="0.2">
      <c r="A10" s="528" t="s">
        <v>8</v>
      </c>
      <c r="B10" s="566">
        <v>4</v>
      </c>
      <c r="D10" s="551">
        <v>231768.12542</v>
      </c>
      <c r="E10" s="587"/>
      <c r="F10" s="588">
        <v>193199.75694999998</v>
      </c>
      <c r="G10" s="588"/>
      <c r="H10" s="588">
        <v>165337</v>
      </c>
      <c r="J10" s="528" t="s">
        <v>3057</v>
      </c>
      <c r="N10" s="589">
        <v>572.85868999999946</v>
      </c>
      <c r="P10" s="589">
        <v>1044.5335</v>
      </c>
      <c r="Q10" s="587"/>
      <c r="R10" s="586">
        <v>492.61714000000029</v>
      </c>
      <c r="S10" s="586"/>
    </row>
    <row r="11" spans="1:19" ht="14.25" customHeight="1" x14ac:dyDescent="0.2">
      <c r="A11" s="528" t="s">
        <v>2170</v>
      </c>
      <c r="B11" s="566">
        <v>5</v>
      </c>
      <c r="D11" s="551">
        <v>16763.50216</v>
      </c>
      <c r="E11" s="587"/>
      <c r="F11" s="588">
        <v>12117.899509999999</v>
      </c>
      <c r="G11" s="588"/>
      <c r="H11" s="588">
        <v>10976</v>
      </c>
      <c r="J11" s="528" t="s">
        <v>2169</v>
      </c>
      <c r="L11" s="566">
        <v>7</v>
      </c>
      <c r="N11" s="551">
        <v>4308.4712800000007</v>
      </c>
      <c r="O11" s="590"/>
      <c r="P11" s="589">
        <v>1358.73233</v>
      </c>
      <c r="Q11" s="587"/>
      <c r="R11" s="586">
        <v>1129.3922299999999</v>
      </c>
      <c r="S11" s="586"/>
    </row>
    <row r="12" spans="1:19" ht="14.25" customHeight="1" x14ac:dyDescent="0.2">
      <c r="A12" s="528" t="s">
        <v>3053</v>
      </c>
      <c r="D12" s="551">
        <v>1093.56791</v>
      </c>
      <c r="F12" s="588">
        <v>308</v>
      </c>
      <c r="G12" s="588"/>
      <c r="H12" s="588">
        <v>0</v>
      </c>
      <c r="J12" s="528" t="s">
        <v>3059</v>
      </c>
      <c r="N12" s="589">
        <v>240.29007000000001</v>
      </c>
      <c r="P12" s="589">
        <v>250.23283000000006</v>
      </c>
      <c r="R12" s="586">
        <v>284.27260999999999</v>
      </c>
      <c r="S12" s="586"/>
    </row>
    <row r="13" spans="1:19" ht="14.25" customHeight="1" x14ac:dyDescent="0.2">
      <c r="A13" s="528" t="s">
        <v>3054</v>
      </c>
      <c r="D13" s="551">
        <v>3198.1990299999998</v>
      </c>
      <c r="F13" s="588">
        <v>2950.9779800000001</v>
      </c>
      <c r="G13" s="588"/>
      <c r="H13" s="588">
        <v>5742.9245000000001</v>
      </c>
      <c r="J13" s="528" t="s">
        <v>16</v>
      </c>
      <c r="N13" s="551">
        <v>1079.2251799999999</v>
      </c>
      <c r="O13" s="590"/>
      <c r="P13" s="589">
        <v>2545.1544399999998</v>
      </c>
      <c r="Q13" s="587"/>
      <c r="R13" s="586">
        <v>1498.6045100000001</v>
      </c>
      <c r="S13" s="586"/>
    </row>
    <row r="14" spans="1:19" ht="14.25" customHeight="1" x14ac:dyDescent="0.2">
      <c r="A14" s="528" t="s">
        <v>5</v>
      </c>
      <c r="D14" s="591">
        <v>876.55462999999997</v>
      </c>
      <c r="E14" s="592"/>
      <c r="F14" s="589">
        <v>1667.3646299999998</v>
      </c>
      <c r="G14" s="589"/>
      <c r="H14" s="589">
        <v>67.730980000000002</v>
      </c>
      <c r="J14" s="528" t="s">
        <v>3058</v>
      </c>
      <c r="N14" s="589">
        <v>180.90013000000002</v>
      </c>
      <c r="P14" s="589">
        <v>235.50355999999999</v>
      </c>
      <c r="R14" s="586">
        <v>172.05931000000001</v>
      </c>
      <c r="S14" s="586"/>
    </row>
    <row r="15" spans="1:19" ht="14.25" customHeight="1" x14ac:dyDescent="0.2">
      <c r="A15" s="528" t="s">
        <v>3055</v>
      </c>
      <c r="D15" s="589">
        <v>54.045490000000001</v>
      </c>
      <c r="F15" s="589">
        <v>716.77233999999999</v>
      </c>
      <c r="G15" s="589"/>
      <c r="H15" s="589">
        <v>1359.43643</v>
      </c>
      <c r="J15" s="528" t="s">
        <v>3060</v>
      </c>
      <c r="N15" s="551">
        <v>628.47742000000005</v>
      </c>
      <c r="O15" s="593"/>
      <c r="P15" s="589">
        <v>665.07403999999997</v>
      </c>
      <c r="R15" s="586">
        <v>433.08570999999995</v>
      </c>
      <c r="S15" s="586"/>
    </row>
    <row r="16" spans="1:19" ht="14.25" customHeight="1" x14ac:dyDescent="0.2">
      <c r="A16" s="528" t="s">
        <v>2171</v>
      </c>
      <c r="B16" s="566">
        <v>6</v>
      </c>
      <c r="D16" s="594">
        <v>1440.00323</v>
      </c>
      <c r="F16" s="595">
        <v>1671.7566100000001</v>
      </c>
      <c r="G16" s="589"/>
      <c r="H16" s="595">
        <v>108.7174</v>
      </c>
      <c r="J16" s="528" t="s">
        <v>18</v>
      </c>
      <c r="L16" s="566">
        <v>11</v>
      </c>
      <c r="N16" s="591">
        <v>15131.754000000001</v>
      </c>
      <c r="O16" s="596"/>
      <c r="P16" s="589">
        <v>12190.2</v>
      </c>
      <c r="R16" s="586">
        <v>12190.2</v>
      </c>
      <c r="S16" s="586"/>
    </row>
    <row r="17" spans="1:24" ht="14.25" customHeight="1" x14ac:dyDescent="0.2">
      <c r="D17" s="594">
        <v>255194.99786999999</v>
      </c>
      <c r="F17" s="595">
        <v>212633</v>
      </c>
      <c r="G17" s="589"/>
      <c r="H17" s="595">
        <v>183591.80930999998</v>
      </c>
      <c r="I17" s="549"/>
      <c r="J17" s="528" t="s">
        <v>3061</v>
      </c>
      <c r="N17" s="595">
        <v>23.867740000000001</v>
      </c>
      <c r="P17" s="595">
        <v>31.21996</v>
      </c>
      <c r="Q17" s="587"/>
      <c r="R17" s="597">
        <v>19.847799999999999</v>
      </c>
      <c r="S17" s="598"/>
    </row>
    <row r="18" spans="1:24" ht="14.25" customHeight="1" x14ac:dyDescent="0.2">
      <c r="D18" s="551"/>
      <c r="F18" s="588"/>
      <c r="G18" s="588"/>
      <c r="H18" s="588"/>
      <c r="J18" s="549"/>
      <c r="K18" s="549"/>
      <c r="L18" s="548"/>
      <c r="M18" s="549"/>
      <c r="N18" s="594">
        <v>22164.844510000003</v>
      </c>
      <c r="O18" s="593"/>
      <c r="P18" s="595">
        <v>18320.650659999999</v>
      </c>
      <c r="Q18" s="587"/>
      <c r="R18" s="595">
        <v>16220.079310000001</v>
      </c>
      <c r="S18" s="589"/>
    </row>
    <row r="19" spans="1:24" ht="14.25" customHeight="1" x14ac:dyDescent="0.2">
      <c r="A19" s="549"/>
      <c r="B19" s="548"/>
      <c r="C19" s="733"/>
      <c r="D19" s="560"/>
      <c r="E19" s="549"/>
      <c r="F19" s="588"/>
      <c r="G19" s="588"/>
      <c r="H19" s="588"/>
      <c r="J19" s="549"/>
      <c r="K19" s="549"/>
      <c r="L19" s="548"/>
      <c r="M19" s="549"/>
      <c r="N19" s="560"/>
      <c r="O19" s="593"/>
      <c r="P19" s="589"/>
      <c r="Q19" s="587"/>
      <c r="R19" s="586"/>
      <c r="S19" s="586"/>
    </row>
    <row r="20" spans="1:24" ht="14.25" customHeight="1" x14ac:dyDescent="0.2">
      <c r="A20" s="565" t="s">
        <v>9</v>
      </c>
      <c r="B20" s="548"/>
      <c r="C20" s="733"/>
      <c r="D20" s="560"/>
      <c r="E20" s="549"/>
      <c r="F20" s="588"/>
      <c r="G20" s="588"/>
      <c r="H20" s="588"/>
      <c r="J20" s="549" t="s">
        <v>9</v>
      </c>
      <c r="N20" s="551"/>
      <c r="O20" s="590"/>
      <c r="P20" s="589"/>
      <c r="Q20" s="587"/>
      <c r="R20" s="586"/>
      <c r="S20" s="586"/>
      <c r="V20" s="591"/>
      <c r="W20" s="596"/>
      <c r="X20" s="589"/>
    </row>
    <row r="21" spans="1:24" ht="14.25" customHeight="1" x14ac:dyDescent="0.2">
      <c r="A21" s="528" t="s">
        <v>2171</v>
      </c>
      <c r="B21" s="566">
        <v>6</v>
      </c>
      <c r="D21" s="553" t="s">
        <v>4</v>
      </c>
      <c r="E21" s="566"/>
      <c r="F21" s="588">
        <v>705.73850000000004</v>
      </c>
      <c r="G21" s="588"/>
      <c r="H21" s="588">
        <v>1309</v>
      </c>
      <c r="I21" s="599"/>
      <c r="J21" s="528" t="s">
        <v>18</v>
      </c>
      <c r="L21" s="566">
        <v>11</v>
      </c>
      <c r="N21" s="551">
        <v>192526.7524</v>
      </c>
      <c r="O21" s="590"/>
      <c r="P21" s="589">
        <v>167514.11118000001</v>
      </c>
      <c r="R21" s="586">
        <v>160764</v>
      </c>
      <c r="S21" s="586"/>
    </row>
    <row r="22" spans="1:24" ht="14.25" customHeight="1" x14ac:dyDescent="0.2">
      <c r="A22" s="528" t="s">
        <v>6</v>
      </c>
      <c r="B22" s="566">
        <v>19</v>
      </c>
      <c r="D22" s="551">
        <v>13201.73725</v>
      </c>
      <c r="E22" s="566"/>
      <c r="F22" s="588">
        <v>14055.024210000001</v>
      </c>
      <c r="G22" s="588"/>
      <c r="H22" s="588">
        <v>14861</v>
      </c>
      <c r="J22" s="528" t="s">
        <v>19</v>
      </c>
      <c r="L22" s="566">
        <v>7</v>
      </c>
      <c r="N22" s="551">
        <v>928.22172999999998</v>
      </c>
      <c r="O22" s="590"/>
      <c r="P22" s="589">
        <v>1444.2695100000001</v>
      </c>
      <c r="R22" s="586">
        <v>1192</v>
      </c>
      <c r="S22" s="586"/>
    </row>
    <row r="23" spans="1:24" ht="14.25" customHeight="1" x14ac:dyDescent="0.2">
      <c r="A23" s="528" t="s">
        <v>10</v>
      </c>
      <c r="B23" s="566">
        <v>8</v>
      </c>
      <c r="D23" s="551">
        <v>92404.546119999999</v>
      </c>
      <c r="E23" s="587"/>
      <c r="F23" s="588">
        <v>96869.425090000004</v>
      </c>
      <c r="G23" s="588"/>
      <c r="H23" s="588">
        <v>103189</v>
      </c>
      <c r="J23" s="528" t="s">
        <v>2257</v>
      </c>
      <c r="N23" s="551">
        <v>88.597710000000006</v>
      </c>
      <c r="P23" s="551">
        <v>288.6112</v>
      </c>
      <c r="R23" s="586">
        <v>289</v>
      </c>
      <c r="S23" s="586"/>
    </row>
    <row r="24" spans="1:24" ht="14.25" customHeight="1" x14ac:dyDescent="0.2">
      <c r="A24" s="528" t="s">
        <v>11</v>
      </c>
      <c r="B24" s="566">
        <v>9</v>
      </c>
      <c r="D24" s="551">
        <v>100928.62437999999</v>
      </c>
      <c r="E24" s="587"/>
      <c r="F24" s="588">
        <v>103323.67139</v>
      </c>
      <c r="G24" s="588"/>
      <c r="H24" s="588">
        <v>105013</v>
      </c>
      <c r="J24" s="528" t="s">
        <v>17</v>
      </c>
      <c r="N24" s="594">
        <v>24.057639999999999</v>
      </c>
      <c r="O24" s="593"/>
      <c r="P24" s="600">
        <v>10.05667</v>
      </c>
      <c r="R24" s="597">
        <v>20</v>
      </c>
      <c r="S24" s="598"/>
    </row>
    <row r="25" spans="1:24" ht="14.25" customHeight="1" x14ac:dyDescent="0.2">
      <c r="A25" s="528" t="s">
        <v>12</v>
      </c>
      <c r="B25" s="566">
        <v>10</v>
      </c>
      <c r="D25" s="594">
        <v>57149.392619999999</v>
      </c>
      <c r="E25" s="587"/>
      <c r="F25" s="595">
        <v>58429.543539999999</v>
      </c>
      <c r="G25" s="589"/>
      <c r="H25" s="595">
        <v>61292</v>
      </c>
      <c r="R25" s="586"/>
      <c r="S25" s="586"/>
    </row>
    <row r="26" spans="1:24" ht="14.25" customHeight="1" x14ac:dyDescent="0.2">
      <c r="D26" s="551"/>
      <c r="F26" s="588"/>
      <c r="G26" s="588"/>
      <c r="H26" s="588"/>
      <c r="J26" s="549"/>
      <c r="K26" s="549"/>
      <c r="L26" s="548"/>
      <c r="M26" s="549"/>
      <c r="N26" s="601">
        <v>193567.62948</v>
      </c>
      <c r="O26" s="593"/>
      <c r="P26" s="602">
        <v>169257.04856000002</v>
      </c>
      <c r="R26" s="602">
        <v>162265</v>
      </c>
      <c r="S26" s="589"/>
    </row>
    <row r="27" spans="1:24" ht="14.25" customHeight="1" x14ac:dyDescent="0.2">
      <c r="D27" s="601">
        <v>263685.30037000001</v>
      </c>
      <c r="F27" s="603">
        <v>273384.40272999997</v>
      </c>
      <c r="G27" s="604"/>
      <c r="H27" s="603">
        <v>285664</v>
      </c>
      <c r="J27" s="549"/>
      <c r="K27" s="549"/>
      <c r="L27" s="548"/>
      <c r="M27" s="549"/>
      <c r="N27" s="560"/>
      <c r="O27" s="593"/>
      <c r="P27" s="589"/>
      <c r="R27" s="586"/>
      <c r="S27" s="586"/>
    </row>
    <row r="28" spans="1:24" ht="14.25" customHeight="1" x14ac:dyDescent="0.2">
      <c r="D28" s="551"/>
      <c r="F28" s="588"/>
      <c r="G28" s="588"/>
      <c r="H28" s="588"/>
      <c r="J28" s="528" t="s">
        <v>3052</v>
      </c>
      <c r="N28" s="602">
        <v>215733.47399</v>
      </c>
      <c r="P28" s="602">
        <v>187577.69922000001</v>
      </c>
      <c r="R28" s="602">
        <v>178485.07931</v>
      </c>
      <c r="S28" s="589"/>
    </row>
    <row r="29" spans="1:24" ht="14.25" customHeight="1" x14ac:dyDescent="0.2">
      <c r="D29" s="551"/>
      <c r="F29" s="605"/>
      <c r="G29" s="605"/>
      <c r="H29" s="605"/>
      <c r="R29" s="586"/>
      <c r="S29" s="586"/>
    </row>
    <row r="30" spans="1:24" ht="14.25" customHeight="1" thickBot="1" x14ac:dyDescent="0.25">
      <c r="A30" s="549" t="s">
        <v>13</v>
      </c>
      <c r="B30" s="548"/>
      <c r="C30" s="733"/>
      <c r="D30" s="606">
        <v>518880.29824000003</v>
      </c>
      <c r="F30" s="607">
        <v>486017.40272999997</v>
      </c>
      <c r="G30" s="604"/>
      <c r="H30" s="607">
        <v>469255.80930999998</v>
      </c>
      <c r="J30" s="549" t="s">
        <v>20</v>
      </c>
      <c r="N30" s="551"/>
      <c r="O30" s="593"/>
      <c r="P30" s="589"/>
      <c r="Q30" s="604">
        <v>0</v>
      </c>
      <c r="R30" s="586"/>
      <c r="S30" s="586"/>
    </row>
    <row r="31" spans="1:24" ht="14.25" customHeight="1" thickTop="1" x14ac:dyDescent="0.2">
      <c r="F31" s="605"/>
      <c r="G31" s="605"/>
      <c r="H31" s="605"/>
      <c r="J31" s="528" t="s">
        <v>2256</v>
      </c>
      <c r="L31" s="566">
        <v>12</v>
      </c>
      <c r="N31" s="551">
        <v>254431.39975000001</v>
      </c>
      <c r="O31" s="593"/>
      <c r="P31" s="589">
        <v>254431.39975000001</v>
      </c>
      <c r="Q31" s="608"/>
      <c r="R31" s="586">
        <v>247250</v>
      </c>
      <c r="S31" s="586"/>
      <c r="T31" s="565"/>
      <c r="U31" s="565"/>
    </row>
    <row r="32" spans="1:24" ht="14.25" customHeight="1" x14ac:dyDescent="0.2">
      <c r="F32" s="609"/>
      <c r="G32" s="609"/>
      <c r="H32" s="609"/>
      <c r="I32" s="584"/>
      <c r="J32" s="528" t="s">
        <v>38</v>
      </c>
      <c r="N32" s="551">
        <v>14634</v>
      </c>
      <c r="P32" s="589">
        <v>13110</v>
      </c>
      <c r="R32" s="586">
        <v>11105</v>
      </c>
      <c r="S32" s="586"/>
      <c r="T32" s="565"/>
      <c r="U32" s="610"/>
      <c r="V32" s="565"/>
      <c r="W32" s="565"/>
    </row>
    <row r="33" spans="1:23" ht="14.25" customHeight="1" x14ac:dyDescent="0.2">
      <c r="F33" s="609"/>
      <c r="G33" s="609"/>
      <c r="H33" s="609"/>
      <c r="I33" s="611"/>
      <c r="J33" s="528" t="s">
        <v>15</v>
      </c>
      <c r="N33" s="551">
        <v>30463</v>
      </c>
      <c r="P33" s="589">
        <v>25599</v>
      </c>
      <c r="Q33" s="612"/>
      <c r="R33" s="586">
        <v>29619</v>
      </c>
      <c r="S33" s="586"/>
      <c r="T33" s="613"/>
      <c r="U33" s="613"/>
      <c r="V33" s="565"/>
      <c r="W33" s="565"/>
    </row>
    <row r="34" spans="1:23" ht="14.25" customHeight="1" x14ac:dyDescent="0.2">
      <c r="E34" s="608"/>
      <c r="F34" s="608"/>
      <c r="G34" s="608"/>
      <c r="H34" s="608"/>
      <c r="I34" s="612"/>
      <c r="J34" s="528" t="s">
        <v>2740</v>
      </c>
      <c r="N34" s="551">
        <v>3618.9558299999994</v>
      </c>
      <c r="P34" s="551">
        <v>5299.3445000000002</v>
      </c>
      <c r="Q34" s="614"/>
      <c r="R34" s="597">
        <v>2797</v>
      </c>
      <c r="S34" s="598"/>
      <c r="T34" s="610"/>
      <c r="U34" s="610"/>
      <c r="V34" s="565"/>
      <c r="W34" s="565"/>
    </row>
    <row r="35" spans="1:23" ht="14.25" customHeight="1" x14ac:dyDescent="0.2">
      <c r="A35" s="549"/>
      <c r="B35" s="548"/>
      <c r="C35" s="733"/>
      <c r="D35" s="549"/>
      <c r="E35" s="615"/>
      <c r="F35" s="615"/>
      <c r="G35" s="615"/>
      <c r="H35" s="615"/>
      <c r="I35" s="614"/>
      <c r="J35" s="549"/>
      <c r="K35" s="549"/>
      <c r="L35" s="548"/>
      <c r="M35" s="549"/>
      <c r="N35" s="601">
        <v>303146.82425000001</v>
      </c>
      <c r="P35" s="602">
        <v>298438.74424999999</v>
      </c>
      <c r="R35" s="602">
        <v>290771</v>
      </c>
      <c r="S35" s="589"/>
      <c r="U35" s="586"/>
    </row>
    <row r="36" spans="1:23" ht="14.25" hidden="1" customHeight="1" x14ac:dyDescent="0.2">
      <c r="I36" s="584"/>
      <c r="J36" s="549"/>
      <c r="K36" s="549"/>
      <c r="L36" s="548"/>
      <c r="M36" s="549"/>
      <c r="N36" s="549"/>
      <c r="P36" s="589"/>
      <c r="R36" s="586"/>
      <c r="S36" s="586"/>
    </row>
    <row r="37" spans="1:23" ht="14.25" hidden="1" customHeight="1" x14ac:dyDescent="0.25">
      <c r="A37" s="614"/>
      <c r="B37" s="726"/>
      <c r="C37" s="734"/>
      <c r="D37" s="614"/>
      <c r="E37" s="614"/>
      <c r="F37" s="614"/>
      <c r="G37" s="614"/>
      <c r="H37" s="614"/>
      <c r="J37" s="549" t="s">
        <v>2172</v>
      </c>
      <c r="K37" s="549"/>
      <c r="L37" s="548"/>
      <c r="M37" s="549"/>
      <c r="N37" s="606">
        <v>518879.29824000003</v>
      </c>
      <c r="P37" s="616">
        <v>488319.93075000006</v>
      </c>
      <c r="R37" s="586"/>
      <c r="S37" s="586"/>
    </row>
    <row r="38" spans="1:23" ht="14.25" hidden="1" customHeight="1" x14ac:dyDescent="0.2">
      <c r="A38" s="578" t="s">
        <v>2398</v>
      </c>
      <c r="B38" s="727"/>
      <c r="C38" s="735"/>
      <c r="I38" s="617"/>
      <c r="J38" s="614"/>
      <c r="K38" s="614"/>
      <c r="L38" s="726"/>
      <c r="M38" s="614"/>
      <c r="N38" s="614"/>
      <c r="O38" s="614"/>
      <c r="P38" s="614"/>
      <c r="R38" s="586"/>
      <c r="S38" s="586"/>
    </row>
    <row r="39" spans="1:23" ht="14.25" hidden="1" customHeight="1" x14ac:dyDescent="0.2">
      <c r="A39" s="528" t="s">
        <v>2399</v>
      </c>
      <c r="R39" s="586"/>
      <c r="S39" s="586"/>
    </row>
    <row r="40" spans="1:23" ht="14.25" hidden="1" customHeight="1" x14ac:dyDescent="0.2">
      <c r="A40" s="528" t="s">
        <v>5008</v>
      </c>
      <c r="R40" s="586"/>
      <c r="S40" s="586"/>
    </row>
    <row r="41" spans="1:23" ht="14.25" hidden="1" customHeight="1" x14ac:dyDescent="0.2">
      <c r="A41" s="528" t="s">
        <v>2394</v>
      </c>
      <c r="R41" s="586"/>
      <c r="S41" s="586"/>
    </row>
    <row r="42" spans="1:23" ht="14.25" hidden="1" customHeight="1" x14ac:dyDescent="0.2">
      <c r="A42" s="528" t="s">
        <v>2395</v>
      </c>
      <c r="R42" s="586"/>
      <c r="S42" s="586"/>
    </row>
    <row r="43" spans="1:23" ht="14.25" hidden="1" customHeight="1" x14ac:dyDescent="0.2">
      <c r="R43" s="586"/>
      <c r="S43" s="586"/>
    </row>
    <row r="44" spans="1:23" ht="14.25" hidden="1" customHeight="1" x14ac:dyDescent="0.2">
      <c r="A44" s="549" t="s">
        <v>5009</v>
      </c>
      <c r="B44" s="548"/>
      <c r="C44" s="733"/>
      <c r="R44" s="586"/>
      <c r="S44" s="586"/>
    </row>
    <row r="45" spans="1:23" ht="14.25" hidden="1" customHeight="1" x14ac:dyDescent="0.2">
      <c r="R45" s="586"/>
      <c r="S45" s="586"/>
    </row>
    <row r="46" spans="1:23" hidden="1" x14ac:dyDescent="0.2">
      <c r="A46" s="528" t="s">
        <v>5010</v>
      </c>
      <c r="R46" s="586"/>
      <c r="S46" s="586"/>
    </row>
    <row r="47" spans="1:23" hidden="1" x14ac:dyDescent="0.2">
      <c r="R47" s="586"/>
      <c r="S47" s="586"/>
    </row>
    <row r="48" spans="1:23" hidden="1" x14ac:dyDescent="0.2">
      <c r="A48" s="528" t="s">
        <v>5011</v>
      </c>
      <c r="R48" s="586"/>
      <c r="S48" s="586"/>
    </row>
    <row r="49" spans="1:19" hidden="1" x14ac:dyDescent="0.2">
      <c r="A49" s="528" t="s">
        <v>2396</v>
      </c>
      <c r="R49" s="586"/>
      <c r="S49" s="586"/>
    </row>
    <row r="50" spans="1:19" hidden="1" x14ac:dyDescent="0.2">
      <c r="A50" s="528" t="s">
        <v>2397</v>
      </c>
      <c r="R50" s="586"/>
      <c r="S50" s="586"/>
    </row>
    <row r="51" spans="1:19" hidden="1" x14ac:dyDescent="0.2">
      <c r="R51" s="586"/>
      <c r="S51" s="586"/>
    </row>
    <row r="52" spans="1:19" hidden="1" x14ac:dyDescent="0.2">
      <c r="A52" s="549" t="s">
        <v>5012</v>
      </c>
      <c r="B52" s="548"/>
      <c r="C52" s="733"/>
      <c r="R52" s="586"/>
      <c r="S52" s="586"/>
    </row>
    <row r="53" spans="1:19" hidden="1" x14ac:dyDescent="0.2">
      <c r="R53" s="586"/>
      <c r="S53" s="586"/>
    </row>
    <row r="54" spans="1:19" hidden="1" x14ac:dyDescent="0.2">
      <c r="A54" s="528" t="s">
        <v>5013</v>
      </c>
      <c r="R54" s="586"/>
      <c r="S54" s="586"/>
    </row>
    <row r="55" spans="1:19" hidden="1" x14ac:dyDescent="0.2">
      <c r="R55" s="586"/>
      <c r="S55" s="586"/>
    </row>
    <row r="56" spans="1:19" hidden="1" x14ac:dyDescent="0.2">
      <c r="A56" s="528" t="s">
        <v>5014</v>
      </c>
      <c r="R56" s="586"/>
      <c r="S56" s="586"/>
    </row>
    <row r="57" spans="1:19" hidden="1" x14ac:dyDescent="0.2">
      <c r="R57" s="586"/>
      <c r="S57" s="586"/>
    </row>
    <row r="58" spans="1:19" hidden="1" x14ac:dyDescent="0.2">
      <c r="A58" s="528" t="s">
        <v>5015</v>
      </c>
      <c r="R58" s="586"/>
      <c r="S58" s="586"/>
    </row>
    <row r="59" spans="1:19" hidden="1" x14ac:dyDescent="0.2">
      <c r="R59" s="586"/>
      <c r="S59" s="586"/>
    </row>
    <row r="60" spans="1:19" hidden="1" x14ac:dyDescent="0.2">
      <c r="R60" s="586"/>
      <c r="S60" s="586"/>
    </row>
    <row r="61" spans="1:19" hidden="1" x14ac:dyDescent="0.2">
      <c r="A61" s="578" t="s">
        <v>2400</v>
      </c>
      <c r="B61" s="727"/>
      <c r="C61" s="735"/>
      <c r="R61" s="586"/>
      <c r="S61" s="586"/>
    </row>
    <row r="62" spans="1:19" hidden="1" x14ac:dyDescent="0.2">
      <c r="R62" s="586"/>
      <c r="S62" s="586"/>
    </row>
    <row r="63" spans="1:19" hidden="1" x14ac:dyDescent="0.2">
      <c r="A63" s="528" t="s">
        <v>5016</v>
      </c>
      <c r="R63" s="586"/>
      <c r="S63" s="586"/>
    </row>
    <row r="64" spans="1:19" hidden="1" x14ac:dyDescent="0.2">
      <c r="R64" s="586"/>
      <c r="S64" s="586"/>
    </row>
    <row r="65" spans="1:19" hidden="1" x14ac:dyDescent="0.2">
      <c r="A65" s="528" t="s">
        <v>5017</v>
      </c>
      <c r="R65" s="586"/>
      <c r="S65" s="586"/>
    </row>
    <row r="66" spans="1:19" hidden="1" x14ac:dyDescent="0.2">
      <c r="A66" s="528" t="s">
        <v>2401</v>
      </c>
      <c r="R66" s="586"/>
      <c r="S66" s="586"/>
    </row>
    <row r="67" spans="1:19" hidden="1" x14ac:dyDescent="0.2">
      <c r="A67" s="528" t="s">
        <v>2402</v>
      </c>
      <c r="R67" s="586"/>
      <c r="S67" s="586"/>
    </row>
    <row r="68" spans="1:19" hidden="1" x14ac:dyDescent="0.2">
      <c r="A68" s="528" t="s">
        <v>2403</v>
      </c>
      <c r="R68" s="586"/>
      <c r="S68" s="586"/>
    </row>
    <row r="69" spans="1:19" hidden="1" x14ac:dyDescent="0.2">
      <c r="R69" s="586"/>
      <c r="S69" s="586"/>
    </row>
    <row r="70" spans="1:19" hidden="1" x14ac:dyDescent="0.2">
      <c r="A70" s="528" t="s">
        <v>5018</v>
      </c>
      <c r="R70" s="586"/>
      <c r="S70" s="586"/>
    </row>
    <row r="71" spans="1:19" hidden="1" x14ac:dyDescent="0.2">
      <c r="A71" s="528" t="s">
        <v>2404</v>
      </c>
      <c r="R71" s="586"/>
      <c r="S71" s="586"/>
    </row>
    <row r="72" spans="1:19" hidden="1" x14ac:dyDescent="0.2">
      <c r="R72" s="586"/>
      <c r="S72" s="586"/>
    </row>
    <row r="73" spans="1:19" hidden="1" x14ac:dyDescent="0.2">
      <c r="A73" s="528" t="s">
        <v>5019</v>
      </c>
      <c r="R73" s="586"/>
      <c r="S73" s="586"/>
    </row>
    <row r="74" spans="1:19" hidden="1" x14ac:dyDescent="0.2">
      <c r="R74" s="586"/>
      <c r="S74" s="586"/>
    </row>
    <row r="75" spans="1:19" hidden="1" x14ac:dyDescent="0.2">
      <c r="A75" s="528" t="s">
        <v>5020</v>
      </c>
      <c r="R75" s="586"/>
      <c r="S75" s="586"/>
    </row>
    <row r="76" spans="1:19" hidden="1" x14ac:dyDescent="0.2">
      <c r="R76" s="586"/>
      <c r="S76" s="586"/>
    </row>
    <row r="77" spans="1:19" hidden="1" x14ac:dyDescent="0.2">
      <c r="A77" s="528" t="s">
        <v>5021</v>
      </c>
      <c r="R77" s="586"/>
      <c r="S77" s="586"/>
    </row>
    <row r="78" spans="1:19" hidden="1" x14ac:dyDescent="0.2">
      <c r="A78" s="528" t="s">
        <v>2405</v>
      </c>
      <c r="R78" s="586"/>
      <c r="S78" s="586"/>
    </row>
    <row r="79" spans="1:19" hidden="1" x14ac:dyDescent="0.2">
      <c r="R79" s="586"/>
      <c r="S79" s="586"/>
    </row>
    <row r="80" spans="1:19" hidden="1" x14ac:dyDescent="0.2">
      <c r="R80" s="586"/>
      <c r="S80" s="586"/>
    </row>
    <row r="81" spans="18:19" hidden="1" x14ac:dyDescent="0.2">
      <c r="R81" s="586"/>
      <c r="S81" s="586"/>
    </row>
    <row r="82" spans="18:19" hidden="1" x14ac:dyDescent="0.2">
      <c r="R82" s="586"/>
      <c r="S82" s="586"/>
    </row>
    <row r="83" spans="18:19" hidden="1" x14ac:dyDescent="0.2">
      <c r="R83" s="586"/>
      <c r="S83" s="586"/>
    </row>
    <row r="84" spans="18:19" hidden="1" x14ac:dyDescent="0.2">
      <c r="R84" s="586"/>
      <c r="S84" s="586"/>
    </row>
    <row r="85" spans="18:19" hidden="1" x14ac:dyDescent="0.2">
      <c r="R85" s="586"/>
      <c r="S85" s="586"/>
    </row>
    <row r="86" spans="18:19" hidden="1" x14ac:dyDescent="0.2">
      <c r="R86" s="586"/>
      <c r="S86" s="586"/>
    </row>
    <row r="87" spans="18:19" hidden="1" x14ac:dyDescent="0.2">
      <c r="R87" s="586"/>
      <c r="S87" s="586"/>
    </row>
    <row r="88" spans="18:19" hidden="1" x14ac:dyDescent="0.2">
      <c r="R88" s="586"/>
      <c r="S88" s="586"/>
    </row>
    <row r="89" spans="18:19" hidden="1" x14ac:dyDescent="0.2">
      <c r="R89" s="586"/>
      <c r="S89" s="586"/>
    </row>
    <row r="90" spans="18:19" hidden="1" x14ac:dyDescent="0.2">
      <c r="R90" s="586"/>
      <c r="S90" s="586"/>
    </row>
    <row r="91" spans="18:19" hidden="1" x14ac:dyDescent="0.2">
      <c r="R91" s="586"/>
      <c r="S91" s="586"/>
    </row>
    <row r="92" spans="18:19" hidden="1" x14ac:dyDescent="0.2">
      <c r="R92" s="586"/>
      <c r="S92" s="586"/>
    </row>
    <row r="93" spans="18:19" hidden="1" x14ac:dyDescent="0.2">
      <c r="R93" s="586"/>
      <c r="S93" s="586"/>
    </row>
    <row r="94" spans="18:19" hidden="1" x14ac:dyDescent="0.2">
      <c r="R94" s="586"/>
      <c r="S94" s="586"/>
    </row>
    <row r="95" spans="18:19" hidden="1" x14ac:dyDescent="0.2">
      <c r="R95" s="586"/>
      <c r="S95" s="586"/>
    </row>
    <row r="96" spans="18:19" hidden="1" x14ac:dyDescent="0.2">
      <c r="R96" s="586"/>
      <c r="S96" s="586"/>
    </row>
    <row r="97" spans="18:19" hidden="1" x14ac:dyDescent="0.2">
      <c r="R97" s="586"/>
      <c r="S97" s="586"/>
    </row>
    <row r="98" spans="18:19" hidden="1" x14ac:dyDescent="0.2">
      <c r="R98" s="586"/>
      <c r="S98" s="586"/>
    </row>
    <row r="99" spans="18:19" hidden="1" x14ac:dyDescent="0.2">
      <c r="R99" s="586"/>
      <c r="S99" s="586"/>
    </row>
    <row r="100" spans="18:19" hidden="1" x14ac:dyDescent="0.2">
      <c r="R100" s="586"/>
      <c r="S100" s="586"/>
    </row>
    <row r="101" spans="18:19" hidden="1" x14ac:dyDescent="0.2">
      <c r="R101" s="586"/>
      <c r="S101" s="586"/>
    </row>
    <row r="102" spans="18:19" hidden="1" x14ac:dyDescent="0.2">
      <c r="R102" s="586"/>
      <c r="S102" s="586"/>
    </row>
    <row r="103" spans="18:19" hidden="1" x14ac:dyDescent="0.2">
      <c r="R103" s="586"/>
      <c r="S103" s="586"/>
    </row>
    <row r="104" spans="18:19" hidden="1" x14ac:dyDescent="0.2">
      <c r="R104" s="586"/>
      <c r="S104" s="586"/>
    </row>
    <row r="105" spans="18:19" hidden="1" x14ac:dyDescent="0.2">
      <c r="R105" s="586"/>
      <c r="S105" s="586"/>
    </row>
    <row r="106" spans="18:19" hidden="1" x14ac:dyDescent="0.2">
      <c r="R106" s="586"/>
      <c r="S106" s="586"/>
    </row>
    <row r="107" spans="18:19" hidden="1" x14ac:dyDescent="0.2">
      <c r="R107" s="586"/>
      <c r="S107" s="586"/>
    </row>
    <row r="108" spans="18:19" hidden="1" x14ac:dyDescent="0.2">
      <c r="R108" s="586"/>
      <c r="S108" s="586"/>
    </row>
    <row r="109" spans="18:19" hidden="1" x14ac:dyDescent="0.2">
      <c r="R109" s="586"/>
      <c r="S109" s="586"/>
    </row>
    <row r="110" spans="18:19" hidden="1" x14ac:dyDescent="0.2">
      <c r="R110" s="586"/>
      <c r="S110" s="586"/>
    </row>
    <row r="111" spans="18:19" hidden="1" x14ac:dyDescent="0.2">
      <c r="R111" s="586"/>
      <c r="S111" s="586"/>
    </row>
    <row r="112" spans="18:19" hidden="1" x14ac:dyDescent="0.2">
      <c r="R112" s="586"/>
      <c r="S112" s="586"/>
    </row>
    <row r="113" spans="18:19" hidden="1" x14ac:dyDescent="0.2">
      <c r="R113" s="586"/>
      <c r="S113" s="586"/>
    </row>
    <row r="114" spans="18:19" hidden="1" x14ac:dyDescent="0.2">
      <c r="R114" s="586"/>
      <c r="S114" s="586"/>
    </row>
    <row r="115" spans="18:19" hidden="1" x14ac:dyDescent="0.2">
      <c r="R115" s="586"/>
      <c r="S115" s="586"/>
    </row>
    <row r="116" spans="18:19" hidden="1" x14ac:dyDescent="0.2">
      <c r="R116" s="586"/>
      <c r="S116" s="586"/>
    </row>
    <row r="117" spans="18:19" hidden="1" x14ac:dyDescent="0.2">
      <c r="R117" s="586"/>
      <c r="S117" s="586"/>
    </row>
    <row r="118" spans="18:19" hidden="1" x14ac:dyDescent="0.2">
      <c r="R118" s="586"/>
      <c r="S118" s="586"/>
    </row>
    <row r="119" spans="18:19" hidden="1" x14ac:dyDescent="0.2">
      <c r="R119" s="586"/>
      <c r="S119" s="586"/>
    </row>
    <row r="120" spans="18:19" hidden="1" x14ac:dyDescent="0.2">
      <c r="R120" s="586"/>
      <c r="S120" s="586"/>
    </row>
    <row r="121" spans="18:19" hidden="1" x14ac:dyDescent="0.2">
      <c r="R121" s="586"/>
      <c r="S121" s="586"/>
    </row>
    <row r="122" spans="18:19" hidden="1" x14ac:dyDescent="0.2">
      <c r="R122" s="586"/>
      <c r="S122" s="586"/>
    </row>
    <row r="123" spans="18:19" hidden="1" x14ac:dyDescent="0.2">
      <c r="R123" s="586"/>
      <c r="S123" s="586"/>
    </row>
    <row r="124" spans="18:19" hidden="1" x14ac:dyDescent="0.2">
      <c r="R124" s="586"/>
      <c r="S124" s="586"/>
    </row>
    <row r="125" spans="18:19" hidden="1" x14ac:dyDescent="0.2">
      <c r="R125" s="586"/>
      <c r="S125" s="586"/>
    </row>
    <row r="126" spans="18:19" hidden="1" x14ac:dyDescent="0.2">
      <c r="R126" s="586"/>
      <c r="S126" s="586"/>
    </row>
    <row r="127" spans="18:19" hidden="1" x14ac:dyDescent="0.2">
      <c r="R127" s="586"/>
      <c r="S127" s="586"/>
    </row>
    <row r="128" spans="18:19" hidden="1" x14ac:dyDescent="0.2">
      <c r="R128" s="586"/>
      <c r="S128" s="586"/>
    </row>
    <row r="129" spans="18:19" hidden="1" x14ac:dyDescent="0.2">
      <c r="R129" s="586"/>
      <c r="S129" s="586"/>
    </row>
    <row r="130" spans="18:19" hidden="1" x14ac:dyDescent="0.2">
      <c r="R130" s="586"/>
      <c r="S130" s="586"/>
    </row>
    <row r="131" spans="18:19" hidden="1" x14ac:dyDescent="0.2">
      <c r="R131" s="586"/>
      <c r="S131" s="586"/>
    </row>
    <row r="132" spans="18:19" hidden="1" x14ac:dyDescent="0.2">
      <c r="R132" s="586"/>
      <c r="S132" s="586"/>
    </row>
    <row r="133" spans="18:19" hidden="1" x14ac:dyDescent="0.2">
      <c r="R133" s="586"/>
      <c r="S133" s="586"/>
    </row>
    <row r="134" spans="18:19" hidden="1" x14ac:dyDescent="0.2">
      <c r="R134" s="586"/>
      <c r="S134" s="586"/>
    </row>
    <row r="135" spans="18:19" hidden="1" x14ac:dyDescent="0.2">
      <c r="R135" s="586"/>
      <c r="S135" s="586"/>
    </row>
    <row r="136" spans="18:19" hidden="1" x14ac:dyDescent="0.2">
      <c r="R136" s="586"/>
      <c r="S136" s="586"/>
    </row>
    <row r="137" spans="18:19" hidden="1" x14ac:dyDescent="0.2">
      <c r="R137" s="586"/>
      <c r="S137" s="586"/>
    </row>
    <row r="138" spans="18:19" hidden="1" x14ac:dyDescent="0.2">
      <c r="R138" s="586"/>
      <c r="S138" s="586"/>
    </row>
    <row r="139" spans="18:19" hidden="1" x14ac:dyDescent="0.2">
      <c r="R139" s="586"/>
      <c r="S139" s="586"/>
    </row>
    <row r="140" spans="18:19" hidden="1" x14ac:dyDescent="0.2">
      <c r="R140" s="586"/>
      <c r="S140" s="586"/>
    </row>
    <row r="141" spans="18:19" hidden="1" x14ac:dyDescent="0.2">
      <c r="R141" s="586"/>
      <c r="S141" s="586"/>
    </row>
    <row r="142" spans="18:19" hidden="1" x14ac:dyDescent="0.2">
      <c r="R142" s="586"/>
      <c r="S142" s="586"/>
    </row>
    <row r="143" spans="18:19" hidden="1" x14ac:dyDescent="0.2">
      <c r="R143" s="586"/>
      <c r="S143" s="586"/>
    </row>
    <row r="144" spans="18:19" hidden="1" x14ac:dyDescent="0.2">
      <c r="R144" s="586"/>
      <c r="S144" s="586"/>
    </row>
    <row r="145" spans="18:19" hidden="1" x14ac:dyDescent="0.2">
      <c r="R145" s="586"/>
      <c r="S145" s="586"/>
    </row>
    <row r="146" spans="18:19" hidden="1" x14ac:dyDescent="0.2">
      <c r="R146" s="586"/>
      <c r="S146" s="586"/>
    </row>
    <row r="147" spans="18:19" hidden="1" x14ac:dyDescent="0.2">
      <c r="R147" s="586"/>
      <c r="S147" s="586"/>
    </row>
    <row r="148" spans="18:19" hidden="1" x14ac:dyDescent="0.2">
      <c r="R148" s="586"/>
      <c r="S148" s="586"/>
    </row>
    <row r="149" spans="18:19" hidden="1" x14ac:dyDescent="0.2">
      <c r="R149" s="586"/>
      <c r="S149" s="586"/>
    </row>
    <row r="150" spans="18:19" hidden="1" x14ac:dyDescent="0.2">
      <c r="R150" s="586"/>
      <c r="S150" s="586"/>
    </row>
    <row r="151" spans="18:19" hidden="1" x14ac:dyDescent="0.2">
      <c r="R151" s="586"/>
      <c r="S151" s="586"/>
    </row>
    <row r="152" spans="18:19" hidden="1" x14ac:dyDescent="0.2">
      <c r="R152" s="586"/>
      <c r="S152" s="586"/>
    </row>
    <row r="153" spans="18:19" hidden="1" x14ac:dyDescent="0.2">
      <c r="R153" s="586"/>
      <c r="S153" s="586"/>
    </row>
    <row r="154" spans="18:19" hidden="1" x14ac:dyDescent="0.2">
      <c r="R154" s="586"/>
      <c r="S154" s="586"/>
    </row>
    <row r="155" spans="18:19" hidden="1" x14ac:dyDescent="0.2">
      <c r="R155" s="586"/>
      <c r="S155" s="586"/>
    </row>
    <row r="156" spans="18:19" hidden="1" x14ac:dyDescent="0.2">
      <c r="R156" s="586"/>
      <c r="S156" s="586"/>
    </row>
    <row r="157" spans="18:19" hidden="1" x14ac:dyDescent="0.2">
      <c r="R157" s="586"/>
      <c r="S157" s="586"/>
    </row>
    <row r="158" spans="18:19" hidden="1" x14ac:dyDescent="0.2">
      <c r="R158" s="586"/>
      <c r="S158" s="586"/>
    </row>
    <row r="159" spans="18:19" hidden="1" x14ac:dyDescent="0.2">
      <c r="R159" s="586"/>
      <c r="S159" s="586"/>
    </row>
    <row r="160" spans="18:19" hidden="1" x14ac:dyDescent="0.2">
      <c r="R160" s="586"/>
      <c r="S160" s="586"/>
    </row>
    <row r="161" spans="18:19" hidden="1" x14ac:dyDescent="0.2">
      <c r="R161" s="586"/>
      <c r="S161" s="586"/>
    </row>
    <row r="162" spans="18:19" hidden="1" x14ac:dyDescent="0.2">
      <c r="R162" s="586"/>
      <c r="S162" s="586"/>
    </row>
    <row r="163" spans="18:19" hidden="1" x14ac:dyDescent="0.2">
      <c r="R163" s="586"/>
      <c r="S163" s="586"/>
    </row>
    <row r="164" spans="18:19" hidden="1" x14ac:dyDescent="0.2">
      <c r="R164" s="586"/>
      <c r="S164" s="586"/>
    </row>
    <row r="165" spans="18:19" hidden="1" x14ac:dyDescent="0.2">
      <c r="R165" s="586"/>
      <c r="S165" s="586"/>
    </row>
    <row r="166" spans="18:19" hidden="1" x14ac:dyDescent="0.2">
      <c r="R166" s="586"/>
      <c r="S166" s="586"/>
    </row>
    <row r="167" spans="18:19" hidden="1" x14ac:dyDescent="0.2">
      <c r="R167" s="586"/>
      <c r="S167" s="586"/>
    </row>
    <row r="168" spans="18:19" hidden="1" x14ac:dyDescent="0.2">
      <c r="R168" s="586"/>
      <c r="S168" s="586"/>
    </row>
    <row r="169" spans="18:19" hidden="1" x14ac:dyDescent="0.2">
      <c r="R169" s="586"/>
      <c r="S169" s="586"/>
    </row>
    <row r="170" spans="18:19" hidden="1" x14ac:dyDescent="0.2">
      <c r="R170" s="586"/>
      <c r="S170" s="586"/>
    </row>
    <row r="171" spans="18:19" hidden="1" x14ac:dyDescent="0.2">
      <c r="R171" s="586"/>
      <c r="S171" s="586"/>
    </row>
    <row r="172" spans="18:19" hidden="1" x14ac:dyDescent="0.2">
      <c r="R172" s="586"/>
      <c r="S172" s="586"/>
    </row>
    <row r="173" spans="18:19" hidden="1" x14ac:dyDescent="0.2">
      <c r="R173" s="586"/>
      <c r="S173" s="586"/>
    </row>
    <row r="174" spans="18:19" hidden="1" x14ac:dyDescent="0.2">
      <c r="R174" s="586"/>
      <c r="S174" s="586"/>
    </row>
    <row r="175" spans="18:19" hidden="1" x14ac:dyDescent="0.2">
      <c r="R175" s="586"/>
      <c r="S175" s="586"/>
    </row>
    <row r="176" spans="18:19" hidden="1" x14ac:dyDescent="0.2">
      <c r="R176" s="586"/>
      <c r="S176" s="586"/>
    </row>
    <row r="177" spans="1:19" hidden="1" x14ac:dyDescent="0.2">
      <c r="R177" s="586"/>
      <c r="S177" s="586"/>
    </row>
    <row r="178" spans="1:19" x14ac:dyDescent="0.2">
      <c r="R178" s="586"/>
      <c r="S178" s="586"/>
    </row>
    <row r="179" spans="1:19" ht="12.75" thickBot="1" x14ac:dyDescent="0.25">
      <c r="J179" s="528" t="s">
        <v>3062</v>
      </c>
      <c r="N179" s="618">
        <v>518880.29824000003</v>
      </c>
      <c r="P179" s="618">
        <v>486017.44347</v>
      </c>
      <c r="R179" s="618">
        <v>469256.07931</v>
      </c>
      <c r="S179" s="591"/>
    </row>
    <row r="180" spans="1:19" ht="12.75" thickTop="1" x14ac:dyDescent="0.2">
      <c r="A180" s="549" t="s">
        <v>2173</v>
      </c>
      <c r="B180" s="548"/>
      <c r="C180" s="733"/>
      <c r="P180" s="599"/>
    </row>
  </sheetData>
  <pageMargins left="0.511811024" right="0.511811024" top="0.78740157499999996" bottom="0.78740157499999996" header="0.31496062000000002" footer="0.31496062000000002"/>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9FFCC"/>
  </sheetPr>
  <dimension ref="A1:AK114"/>
  <sheetViews>
    <sheetView topLeftCell="A101" workbookViewId="0">
      <selection activeCell="AF121" sqref="AF121"/>
    </sheetView>
  </sheetViews>
  <sheetFormatPr defaultRowHeight="15" x14ac:dyDescent="0.25"/>
  <cols>
    <col min="1" max="1" width="1.7109375" customWidth="1"/>
    <col min="2" max="2" width="9.85546875" customWidth="1"/>
    <col min="3" max="3" width="5.28515625" customWidth="1"/>
    <col min="4" max="4" width="3.42578125" customWidth="1"/>
    <col min="5" max="5" width="1.28515625" customWidth="1"/>
    <col min="6" max="6" width="1.7109375" customWidth="1"/>
    <col min="7" max="7" width="2.5703125" customWidth="1"/>
    <col min="8" max="8" width="1.7109375" customWidth="1"/>
    <col min="9" max="10" width="1.28515625" customWidth="1"/>
    <col min="11" max="11" width="10.85546875" customWidth="1"/>
    <col min="12" max="12" width="17.42578125" customWidth="1"/>
    <col min="13" max="13" width="3.140625" customWidth="1"/>
    <col min="14" max="14" width="4.7109375" customWidth="1"/>
    <col min="15" max="15" width="8.7109375" customWidth="1"/>
    <col min="16" max="16" width="2" customWidth="1"/>
    <col min="17" max="17" width="1.28515625" customWidth="1"/>
    <col min="18" max="18" width="5.42578125" customWidth="1"/>
    <col min="19" max="19" width="6.28515625" customWidth="1"/>
    <col min="20" max="20" width="2.28515625" customWidth="1"/>
    <col min="21" max="21" width="1" customWidth="1"/>
    <col min="22" max="22" width="2.5703125" customWidth="1"/>
    <col min="23" max="23" width="1.7109375" customWidth="1"/>
    <col min="24" max="24" width="2" customWidth="1"/>
    <col min="25" max="25" width="1.28515625" customWidth="1"/>
    <col min="26" max="26" width="5.140625" customWidth="1"/>
    <col min="27" max="27" width="1" customWidth="1"/>
    <col min="28" max="28" width="2.7109375" customWidth="1"/>
    <col min="29" max="29" width="1.28515625" customWidth="1"/>
    <col min="30" max="30" width="2.28515625" customWidth="1"/>
    <col min="31" max="31" width="1" customWidth="1"/>
    <col min="32" max="32" width="1.5703125" customWidth="1"/>
    <col min="33" max="33" width="1.42578125" customWidth="1"/>
    <col min="34" max="34" width="1" customWidth="1"/>
    <col min="35" max="35" width="5.28515625" customWidth="1"/>
    <col min="36" max="36" width="6" customWidth="1"/>
    <col min="37" max="37" width="46.42578125" customWidth="1"/>
  </cols>
  <sheetData>
    <row r="1" spans="1:37" ht="13.35" customHeight="1" x14ac:dyDescent="0.25">
      <c r="C1" s="666" t="s">
        <v>2189</v>
      </c>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row>
    <row r="2" spans="1:37" ht="11.1" hidden="1" customHeight="1" x14ac:dyDescent="0.25">
      <c r="C2" s="666" t="s">
        <v>2589</v>
      </c>
      <c r="D2" s="666"/>
      <c r="E2" s="666"/>
      <c r="F2" s="666"/>
      <c r="G2" s="666"/>
      <c r="H2" s="666"/>
      <c r="I2" s="666"/>
      <c r="J2" s="666"/>
      <c r="K2" s="666"/>
      <c r="M2" s="678" t="s">
        <v>2590</v>
      </c>
      <c r="N2" s="678"/>
      <c r="O2" s="678"/>
      <c r="P2" s="678"/>
      <c r="X2" s="666" t="s">
        <v>2591</v>
      </c>
      <c r="Y2" s="666"/>
      <c r="Z2" s="666"/>
      <c r="AB2" s="679"/>
      <c r="AC2" s="679"/>
      <c r="AD2" s="679"/>
      <c r="AE2" s="679"/>
      <c r="AG2" s="666" t="s">
        <v>2192</v>
      </c>
      <c r="AH2" s="666"/>
      <c r="AI2" s="666"/>
      <c r="AJ2" s="171">
        <v>0</v>
      </c>
    </row>
    <row r="3" spans="1:37" ht="12.6" hidden="1" customHeight="1" x14ac:dyDescent="0.25">
      <c r="C3" s="666"/>
      <c r="D3" s="666"/>
      <c r="E3" s="666"/>
      <c r="F3" s="666"/>
      <c r="G3" s="666"/>
      <c r="H3" s="666"/>
      <c r="I3" s="666"/>
      <c r="J3" s="666"/>
      <c r="K3" s="666"/>
      <c r="L3" s="666"/>
      <c r="M3" s="666"/>
      <c r="N3" s="666"/>
      <c r="O3" s="666"/>
      <c r="T3" s="666" t="s">
        <v>2592</v>
      </c>
      <c r="U3" s="666"/>
      <c r="V3" s="666"/>
      <c r="W3" s="666"/>
      <c r="X3" s="666"/>
      <c r="Z3" s="681">
        <v>44166</v>
      </c>
      <c r="AA3" s="681"/>
      <c r="AB3" s="681"/>
      <c r="AC3" s="681"/>
      <c r="AD3" s="681"/>
      <c r="AF3" s="682" t="s">
        <v>4</v>
      </c>
      <c r="AG3" s="682"/>
      <c r="AI3" s="683">
        <v>44196</v>
      </c>
      <c r="AJ3" s="683"/>
    </row>
    <row r="4" spans="1:37" ht="11.85" hidden="1" customHeight="1" x14ac:dyDescent="0.25">
      <c r="C4" s="666"/>
      <c r="D4" s="666"/>
      <c r="E4" s="666"/>
      <c r="F4" s="666"/>
      <c r="G4" s="666"/>
      <c r="H4" s="666"/>
      <c r="I4" s="666"/>
      <c r="J4" s="666"/>
      <c r="K4" s="666"/>
      <c r="L4" s="666"/>
      <c r="M4" s="666"/>
      <c r="N4" s="666"/>
      <c r="O4" s="666"/>
    </row>
    <row r="5" spans="1:37" ht="14.1" customHeight="1" x14ac:dyDescent="0.25">
      <c r="B5" s="666" t="s">
        <v>2593</v>
      </c>
      <c r="C5" s="666"/>
      <c r="D5" s="666"/>
      <c r="E5" s="666"/>
      <c r="F5" s="666"/>
      <c r="H5" s="666" t="s">
        <v>2594</v>
      </c>
      <c r="I5" s="666"/>
      <c r="J5" s="666"/>
      <c r="K5" s="666"/>
      <c r="L5" s="666"/>
      <c r="M5" s="666"/>
      <c r="N5" s="680" t="s">
        <v>2595</v>
      </c>
      <c r="O5" s="680"/>
      <c r="P5" s="680"/>
      <c r="S5" s="680" t="s">
        <v>2596</v>
      </c>
      <c r="T5" s="680"/>
      <c r="Y5" s="680" t="s">
        <v>2597</v>
      </c>
      <c r="Z5" s="680"/>
      <c r="AA5" s="680"/>
      <c r="AB5" s="680"/>
      <c r="AH5" s="680" t="s">
        <v>2598</v>
      </c>
      <c r="AI5" s="680"/>
      <c r="AJ5" s="680"/>
    </row>
    <row r="6" spans="1:37" s="93" customFormat="1" ht="11.1" customHeight="1" x14ac:dyDescent="0.25">
      <c r="A6" s="663" t="s">
        <v>2599</v>
      </c>
      <c r="B6" s="663"/>
      <c r="C6" s="663"/>
      <c r="K6" s="663" t="s">
        <v>1571</v>
      </c>
      <c r="L6" s="663"/>
      <c r="M6" s="663"/>
      <c r="N6" s="663"/>
      <c r="O6" s="664">
        <v>338516.9</v>
      </c>
      <c r="P6" s="664"/>
      <c r="R6" s="665">
        <v>34211.57</v>
      </c>
      <c r="S6" s="665"/>
      <c r="T6" s="665"/>
      <c r="W6" s="665">
        <v>5802.08</v>
      </c>
      <c r="X6" s="665"/>
      <c r="Y6" s="665"/>
      <c r="Z6" s="665"/>
      <c r="AA6" s="665"/>
      <c r="AB6" s="665"/>
      <c r="AD6" s="664">
        <v>366926.39</v>
      </c>
      <c r="AE6" s="664"/>
      <c r="AF6" s="664"/>
      <c r="AG6" s="664"/>
      <c r="AH6" s="664"/>
      <c r="AI6" s="664"/>
      <c r="AJ6" s="664"/>
      <c r="AK6" s="93">
        <v>1</v>
      </c>
    </row>
    <row r="7" spans="1:37" s="108" customFormat="1" ht="11.1" customHeight="1" x14ac:dyDescent="0.25">
      <c r="A7" s="669" t="s">
        <v>2600</v>
      </c>
      <c r="B7" s="669"/>
      <c r="C7" s="669"/>
      <c r="K7" s="669" t="s">
        <v>1573</v>
      </c>
      <c r="L7" s="669"/>
      <c r="M7" s="669"/>
      <c r="N7" s="669"/>
      <c r="O7" s="670">
        <v>51729.34</v>
      </c>
      <c r="P7" s="670"/>
      <c r="R7" s="671">
        <v>2234.75</v>
      </c>
      <c r="S7" s="671"/>
      <c r="T7" s="671"/>
      <c r="W7" s="671">
        <v>0</v>
      </c>
      <c r="X7" s="671"/>
      <c r="Y7" s="671"/>
      <c r="Z7" s="671"/>
      <c r="AA7" s="671"/>
      <c r="AB7" s="671"/>
      <c r="AD7" s="670">
        <v>53964.09</v>
      </c>
      <c r="AE7" s="670"/>
      <c r="AF7" s="670"/>
      <c r="AG7" s="670"/>
      <c r="AH7" s="670"/>
      <c r="AI7" s="670"/>
      <c r="AJ7" s="670"/>
      <c r="AK7" s="108">
        <v>5</v>
      </c>
    </row>
    <row r="8" spans="1:37" s="365" customFormat="1" ht="11.1" customHeight="1" x14ac:dyDescent="0.25">
      <c r="A8" s="660" t="s">
        <v>2601</v>
      </c>
      <c r="B8" s="660"/>
      <c r="C8" s="660"/>
      <c r="K8" s="660" t="s">
        <v>1575</v>
      </c>
      <c r="L8" s="660"/>
      <c r="M8" s="660"/>
      <c r="N8" s="660"/>
      <c r="O8" s="661">
        <v>12806.02</v>
      </c>
      <c r="P8" s="661"/>
      <c r="R8" s="662">
        <v>610.08000000000004</v>
      </c>
      <c r="S8" s="662"/>
      <c r="T8" s="662"/>
      <c r="W8" s="662">
        <v>0</v>
      </c>
      <c r="X8" s="662"/>
      <c r="Y8" s="662"/>
      <c r="Z8" s="662"/>
      <c r="AA8" s="662"/>
      <c r="AB8" s="662"/>
      <c r="AD8" s="661">
        <v>13416.1</v>
      </c>
      <c r="AE8" s="661"/>
      <c r="AF8" s="661"/>
      <c r="AG8" s="661"/>
      <c r="AH8" s="661"/>
      <c r="AI8" s="661"/>
      <c r="AJ8" s="661"/>
      <c r="AK8" s="365">
        <v>9</v>
      </c>
    </row>
    <row r="9" spans="1:37" s="157" customFormat="1" ht="11.1" customHeight="1" x14ac:dyDescent="0.25">
      <c r="A9" s="657" t="s">
        <v>2602</v>
      </c>
      <c r="B9" s="657"/>
      <c r="C9" s="657"/>
      <c r="K9" s="657" t="s">
        <v>1577</v>
      </c>
      <c r="L9" s="657"/>
      <c r="M9" s="657"/>
      <c r="N9" s="657"/>
      <c r="O9" s="658">
        <v>3797.26</v>
      </c>
      <c r="P9" s="658"/>
      <c r="R9" s="659">
        <v>178.78</v>
      </c>
      <c r="S9" s="659"/>
      <c r="T9" s="659"/>
      <c r="W9" s="659">
        <v>0</v>
      </c>
      <c r="X9" s="659"/>
      <c r="Y9" s="659"/>
      <c r="Z9" s="659"/>
      <c r="AA9" s="659"/>
      <c r="AB9" s="659"/>
      <c r="AD9" s="658">
        <v>3976.04</v>
      </c>
      <c r="AE9" s="658"/>
      <c r="AF9" s="658"/>
      <c r="AG9" s="658"/>
      <c r="AH9" s="658"/>
      <c r="AI9" s="658"/>
      <c r="AJ9" s="658"/>
      <c r="AK9" s="157">
        <v>2</v>
      </c>
    </row>
    <row r="10" spans="1:37" s="108" customFormat="1" ht="11.1" customHeight="1" x14ac:dyDescent="0.25">
      <c r="A10" s="669" t="s">
        <v>2603</v>
      </c>
      <c r="B10" s="669"/>
      <c r="C10" s="669"/>
      <c r="K10" s="669" t="s">
        <v>1579</v>
      </c>
      <c r="L10" s="669"/>
      <c r="M10" s="669"/>
      <c r="N10" s="669"/>
      <c r="O10" s="670">
        <v>32483.21</v>
      </c>
      <c r="P10" s="670"/>
      <c r="R10" s="671">
        <v>2873.04</v>
      </c>
      <c r="S10" s="671"/>
      <c r="T10" s="671"/>
      <c r="W10" s="671">
        <v>0</v>
      </c>
      <c r="X10" s="671"/>
      <c r="Y10" s="671"/>
      <c r="Z10" s="671"/>
      <c r="AA10" s="671"/>
      <c r="AB10" s="671"/>
      <c r="AD10" s="670">
        <v>35356.25</v>
      </c>
      <c r="AE10" s="670"/>
      <c r="AF10" s="670"/>
      <c r="AG10" s="670"/>
      <c r="AH10" s="670"/>
      <c r="AI10" s="670"/>
      <c r="AJ10" s="670"/>
      <c r="AK10" s="108">
        <v>5</v>
      </c>
    </row>
    <row r="11" spans="1:37" s="365" customFormat="1" ht="11.1" customHeight="1" x14ac:dyDescent="0.25">
      <c r="A11" s="660" t="s">
        <v>2604</v>
      </c>
      <c r="B11" s="660"/>
      <c r="C11" s="660"/>
      <c r="K11" s="660" t="s">
        <v>1581</v>
      </c>
      <c r="L11" s="660"/>
      <c r="M11" s="660"/>
      <c r="N11" s="660"/>
      <c r="O11" s="661">
        <v>8867.93</v>
      </c>
      <c r="P11" s="661"/>
      <c r="R11" s="662">
        <v>784.31</v>
      </c>
      <c r="S11" s="662"/>
      <c r="T11" s="662"/>
      <c r="W11" s="662">
        <v>0</v>
      </c>
      <c r="X11" s="662"/>
      <c r="Y11" s="662"/>
      <c r="Z11" s="662"/>
      <c r="AA11" s="662"/>
      <c r="AB11" s="662"/>
      <c r="AD11" s="661">
        <v>9652.24</v>
      </c>
      <c r="AE11" s="661"/>
      <c r="AF11" s="661"/>
      <c r="AG11" s="661"/>
      <c r="AH11" s="661"/>
      <c r="AI11" s="661"/>
      <c r="AJ11" s="661"/>
      <c r="AK11" s="365">
        <v>9</v>
      </c>
    </row>
    <row r="12" spans="1:37" s="157" customFormat="1" ht="11.1" customHeight="1" x14ac:dyDescent="0.25">
      <c r="A12" s="657" t="s">
        <v>2605</v>
      </c>
      <c r="B12" s="657"/>
      <c r="C12" s="657"/>
      <c r="K12" s="657" t="s">
        <v>1583</v>
      </c>
      <c r="L12" s="657"/>
      <c r="M12" s="657"/>
      <c r="N12" s="657"/>
      <c r="O12" s="658">
        <v>2598.63</v>
      </c>
      <c r="P12" s="658"/>
      <c r="R12" s="659">
        <v>229.83</v>
      </c>
      <c r="S12" s="659"/>
      <c r="T12" s="659"/>
      <c r="W12" s="659">
        <v>0</v>
      </c>
      <c r="X12" s="659"/>
      <c r="Y12" s="659"/>
      <c r="Z12" s="659"/>
      <c r="AA12" s="659"/>
      <c r="AB12" s="659"/>
      <c r="AD12" s="658">
        <v>2828.46</v>
      </c>
      <c r="AE12" s="658"/>
      <c r="AF12" s="658"/>
      <c r="AG12" s="658"/>
      <c r="AH12" s="658"/>
      <c r="AI12" s="658"/>
      <c r="AJ12" s="658"/>
      <c r="AK12" s="157">
        <v>2</v>
      </c>
    </row>
    <row r="13" spans="1:37" s="93" customFormat="1" ht="11.1" customHeight="1" x14ac:dyDescent="0.25">
      <c r="A13" s="663" t="s">
        <v>2606</v>
      </c>
      <c r="B13" s="663"/>
      <c r="C13" s="663"/>
      <c r="K13" s="663" t="s">
        <v>1585</v>
      </c>
      <c r="L13" s="663"/>
      <c r="M13" s="663"/>
      <c r="N13" s="663"/>
      <c r="O13" s="664">
        <v>4611.1899999999996</v>
      </c>
      <c r="P13" s="664"/>
      <c r="R13" s="665">
        <v>244.9</v>
      </c>
      <c r="S13" s="665"/>
      <c r="T13" s="665"/>
      <c r="W13" s="665">
        <v>0</v>
      </c>
      <c r="X13" s="665"/>
      <c r="Y13" s="665"/>
      <c r="Z13" s="665"/>
      <c r="AA13" s="665"/>
      <c r="AB13" s="665"/>
      <c r="AD13" s="664">
        <v>4856.09</v>
      </c>
      <c r="AE13" s="664"/>
      <c r="AF13" s="664"/>
      <c r="AG13" s="664"/>
      <c r="AH13" s="664"/>
      <c r="AI13" s="664"/>
      <c r="AJ13" s="664"/>
      <c r="AK13" s="93">
        <v>1</v>
      </c>
    </row>
    <row r="14" spans="1:37" ht="11.1" customHeight="1" x14ac:dyDescent="0.25">
      <c r="A14" s="666" t="s">
        <v>2607</v>
      </c>
      <c r="B14" s="666"/>
      <c r="C14" s="666"/>
      <c r="K14" s="666" t="s">
        <v>1587</v>
      </c>
      <c r="L14" s="666"/>
      <c r="M14" s="666"/>
      <c r="N14" s="666"/>
      <c r="O14" s="667">
        <v>655.73</v>
      </c>
      <c r="P14" s="667"/>
      <c r="R14" s="668">
        <v>26.32</v>
      </c>
      <c r="S14" s="668"/>
      <c r="T14" s="668"/>
      <c r="W14" s="668">
        <v>0</v>
      </c>
      <c r="X14" s="668"/>
      <c r="Y14" s="668"/>
      <c r="Z14" s="668"/>
      <c r="AA14" s="668"/>
      <c r="AB14" s="668"/>
      <c r="AD14" s="667">
        <v>682.05</v>
      </c>
      <c r="AE14" s="667"/>
      <c r="AF14" s="667"/>
      <c r="AG14" s="667"/>
      <c r="AH14" s="667"/>
      <c r="AI14" s="667"/>
      <c r="AJ14" s="667"/>
      <c r="AK14">
        <v>11</v>
      </c>
    </row>
    <row r="15" spans="1:37" s="93" customFormat="1" ht="11.1" customHeight="1" x14ac:dyDescent="0.25">
      <c r="A15" s="663" t="s">
        <v>2608</v>
      </c>
      <c r="B15" s="663"/>
      <c r="C15" s="663"/>
      <c r="K15" s="663" t="s">
        <v>1589</v>
      </c>
      <c r="L15" s="663"/>
      <c r="M15" s="663"/>
      <c r="N15" s="663"/>
      <c r="O15" s="664">
        <v>10661.63</v>
      </c>
      <c r="P15" s="664"/>
      <c r="R15" s="665">
        <v>4618.21</v>
      </c>
      <c r="S15" s="665"/>
      <c r="T15" s="665"/>
      <c r="W15" s="665">
        <v>0</v>
      </c>
      <c r="X15" s="665"/>
      <c r="Y15" s="665"/>
      <c r="Z15" s="665"/>
      <c r="AA15" s="665"/>
      <c r="AB15" s="665"/>
      <c r="AD15" s="664">
        <v>15279.84</v>
      </c>
      <c r="AE15" s="664"/>
      <c r="AF15" s="664"/>
      <c r="AG15" s="664"/>
      <c r="AH15" s="664"/>
      <c r="AI15" s="664"/>
      <c r="AJ15" s="664"/>
      <c r="AK15" s="93">
        <v>1</v>
      </c>
    </row>
    <row r="16" spans="1:37" s="93" customFormat="1" ht="11.1" customHeight="1" x14ac:dyDescent="0.25">
      <c r="A16" s="663" t="s">
        <v>2609</v>
      </c>
      <c r="B16" s="663"/>
      <c r="C16" s="663"/>
      <c r="K16" s="663" t="s">
        <v>1568</v>
      </c>
      <c r="L16" s="663"/>
      <c r="M16" s="663"/>
      <c r="N16" s="663"/>
      <c r="O16" s="664">
        <v>512937.95</v>
      </c>
      <c r="P16" s="664"/>
      <c r="R16" s="665">
        <v>34357</v>
      </c>
      <c r="S16" s="665"/>
      <c r="T16" s="665"/>
      <c r="W16" s="665">
        <v>0</v>
      </c>
      <c r="X16" s="665"/>
      <c r="Y16" s="665"/>
      <c r="Z16" s="665"/>
      <c r="AA16" s="665"/>
      <c r="AB16" s="665"/>
      <c r="AD16" s="664">
        <v>547294.94999999995</v>
      </c>
      <c r="AE16" s="664"/>
      <c r="AF16" s="664"/>
      <c r="AG16" s="664"/>
      <c r="AH16" s="664"/>
      <c r="AI16" s="664"/>
      <c r="AJ16" s="664"/>
      <c r="AK16" s="93">
        <v>1</v>
      </c>
    </row>
    <row r="17" spans="1:37" s="93" customFormat="1" ht="11.1" customHeight="1" x14ac:dyDescent="0.25">
      <c r="A17" s="663" t="s">
        <v>2610</v>
      </c>
      <c r="B17" s="663"/>
      <c r="C17" s="663"/>
      <c r="K17" s="663" t="s">
        <v>1571</v>
      </c>
      <c r="L17" s="663"/>
      <c r="M17" s="663"/>
      <c r="N17" s="663"/>
      <c r="O17" s="664">
        <v>529986.34</v>
      </c>
      <c r="P17" s="664"/>
      <c r="R17" s="665">
        <v>43216.78</v>
      </c>
      <c r="S17" s="665"/>
      <c r="T17" s="665"/>
      <c r="W17" s="665">
        <v>0</v>
      </c>
      <c r="X17" s="665"/>
      <c r="Y17" s="665"/>
      <c r="Z17" s="665"/>
      <c r="AA17" s="665"/>
      <c r="AB17" s="665"/>
      <c r="AD17" s="664">
        <v>573203.12</v>
      </c>
      <c r="AE17" s="664"/>
      <c r="AF17" s="664"/>
      <c r="AG17" s="664"/>
      <c r="AH17" s="664"/>
      <c r="AI17" s="664"/>
      <c r="AJ17" s="664"/>
      <c r="AK17" s="93">
        <v>1</v>
      </c>
    </row>
    <row r="18" spans="1:37" s="108" customFormat="1" ht="11.1" customHeight="1" x14ac:dyDescent="0.25">
      <c r="A18" s="669" t="s">
        <v>2611</v>
      </c>
      <c r="B18" s="669"/>
      <c r="C18" s="669"/>
      <c r="K18" s="669" t="s">
        <v>1595</v>
      </c>
      <c r="L18" s="669"/>
      <c r="M18" s="669"/>
      <c r="N18" s="669"/>
      <c r="O18" s="670">
        <v>72116.53</v>
      </c>
      <c r="P18" s="670"/>
      <c r="R18" s="671">
        <v>4975.68</v>
      </c>
      <c r="S18" s="671"/>
      <c r="T18" s="671"/>
      <c r="W18" s="671">
        <v>0</v>
      </c>
      <c r="X18" s="671"/>
      <c r="Y18" s="671"/>
      <c r="Z18" s="671"/>
      <c r="AA18" s="671"/>
      <c r="AB18" s="671"/>
      <c r="AD18" s="670">
        <v>77092.210000000006</v>
      </c>
      <c r="AE18" s="670"/>
      <c r="AF18" s="670"/>
      <c r="AG18" s="670"/>
      <c r="AH18" s="670"/>
      <c r="AI18" s="670"/>
      <c r="AJ18" s="670"/>
      <c r="AK18" s="108">
        <v>5</v>
      </c>
    </row>
    <row r="19" spans="1:37" s="365" customFormat="1" ht="11.1" customHeight="1" x14ac:dyDescent="0.25">
      <c r="A19" s="660" t="s">
        <v>2612</v>
      </c>
      <c r="B19" s="660"/>
      <c r="C19" s="660"/>
      <c r="K19" s="660" t="s">
        <v>1597</v>
      </c>
      <c r="L19" s="660"/>
      <c r="M19" s="660"/>
      <c r="N19" s="660"/>
      <c r="O19" s="661">
        <v>14441.6</v>
      </c>
      <c r="P19" s="661"/>
      <c r="R19" s="662">
        <v>1018.09</v>
      </c>
      <c r="S19" s="662"/>
      <c r="T19" s="662"/>
      <c r="W19" s="662">
        <v>0</v>
      </c>
      <c r="X19" s="662"/>
      <c r="Y19" s="662"/>
      <c r="Z19" s="662"/>
      <c r="AA19" s="662"/>
      <c r="AB19" s="662"/>
      <c r="AD19" s="661">
        <v>15459.69</v>
      </c>
      <c r="AE19" s="661"/>
      <c r="AF19" s="661"/>
      <c r="AG19" s="661"/>
      <c r="AH19" s="661"/>
      <c r="AI19" s="661"/>
      <c r="AJ19" s="661"/>
      <c r="AK19" s="365">
        <v>9</v>
      </c>
    </row>
    <row r="20" spans="1:37" s="157" customFormat="1" ht="11.1" customHeight="1" x14ac:dyDescent="0.25">
      <c r="A20" s="657" t="s">
        <v>2613</v>
      </c>
      <c r="B20" s="657"/>
      <c r="C20" s="657"/>
      <c r="K20" s="657" t="s">
        <v>1599</v>
      </c>
      <c r="L20" s="657"/>
      <c r="M20" s="657"/>
      <c r="N20" s="657"/>
      <c r="O20" s="658">
        <v>4344.22</v>
      </c>
      <c r="P20" s="658"/>
      <c r="R20" s="659">
        <v>298.32</v>
      </c>
      <c r="S20" s="659"/>
      <c r="T20" s="659"/>
      <c r="W20" s="659">
        <v>0</v>
      </c>
      <c r="X20" s="659"/>
      <c r="Y20" s="659"/>
      <c r="Z20" s="659"/>
      <c r="AA20" s="659"/>
      <c r="AB20" s="659"/>
      <c r="AD20" s="658">
        <v>4642.54</v>
      </c>
      <c r="AE20" s="658"/>
      <c r="AF20" s="658"/>
      <c r="AG20" s="658"/>
      <c r="AH20" s="658"/>
      <c r="AI20" s="658"/>
      <c r="AJ20" s="658"/>
      <c r="AK20" s="157">
        <v>2</v>
      </c>
    </row>
    <row r="21" spans="1:37" s="108" customFormat="1" ht="11.1" customHeight="1" x14ac:dyDescent="0.25">
      <c r="A21" s="669" t="s">
        <v>2614</v>
      </c>
      <c r="B21" s="669"/>
      <c r="C21" s="669"/>
      <c r="K21" s="669" t="s">
        <v>1601</v>
      </c>
      <c r="L21" s="669"/>
      <c r="M21" s="669"/>
      <c r="N21" s="669"/>
      <c r="O21" s="670">
        <v>48088.77</v>
      </c>
      <c r="P21" s="670"/>
      <c r="R21" s="671">
        <v>4379.6499999999996</v>
      </c>
      <c r="S21" s="671"/>
      <c r="T21" s="671"/>
      <c r="W21" s="671">
        <v>0</v>
      </c>
      <c r="X21" s="671"/>
      <c r="Y21" s="671"/>
      <c r="Z21" s="671"/>
      <c r="AA21" s="671"/>
      <c r="AB21" s="671"/>
      <c r="AD21" s="670">
        <v>52468.42</v>
      </c>
      <c r="AE21" s="670"/>
      <c r="AF21" s="670"/>
      <c r="AG21" s="670"/>
      <c r="AH21" s="670"/>
      <c r="AI21" s="670"/>
      <c r="AJ21" s="670"/>
      <c r="AK21" s="108">
        <v>5</v>
      </c>
    </row>
    <row r="22" spans="1:37" s="365" customFormat="1" ht="11.1" customHeight="1" x14ac:dyDescent="0.25">
      <c r="A22" s="660" t="s">
        <v>2615</v>
      </c>
      <c r="B22" s="660"/>
      <c r="C22" s="660"/>
      <c r="K22" s="660" t="s">
        <v>1603</v>
      </c>
      <c r="L22" s="660"/>
      <c r="M22" s="660"/>
      <c r="N22" s="660"/>
      <c r="O22" s="661">
        <v>13128.24</v>
      </c>
      <c r="P22" s="661"/>
      <c r="R22" s="662">
        <v>1195.6300000000001</v>
      </c>
      <c r="S22" s="662"/>
      <c r="T22" s="662"/>
      <c r="W22" s="662">
        <v>0</v>
      </c>
      <c r="X22" s="662"/>
      <c r="Y22" s="662"/>
      <c r="Z22" s="662"/>
      <c r="AA22" s="662"/>
      <c r="AB22" s="662"/>
      <c r="AD22" s="661">
        <v>14323.87</v>
      </c>
      <c r="AE22" s="661"/>
      <c r="AF22" s="661"/>
      <c r="AG22" s="661"/>
      <c r="AH22" s="661"/>
      <c r="AI22" s="661"/>
      <c r="AJ22" s="661"/>
      <c r="AK22" s="365">
        <v>9</v>
      </c>
    </row>
    <row r="23" spans="1:37" s="157" customFormat="1" ht="11.1" customHeight="1" x14ac:dyDescent="0.25">
      <c r="A23" s="657" t="s">
        <v>2616</v>
      </c>
      <c r="B23" s="657"/>
      <c r="C23" s="657"/>
      <c r="K23" s="657" t="s">
        <v>1605</v>
      </c>
      <c r="L23" s="657"/>
      <c r="M23" s="657"/>
      <c r="N23" s="657"/>
      <c r="O23" s="658">
        <v>4036.55</v>
      </c>
      <c r="P23" s="658"/>
      <c r="R23" s="659">
        <v>350.37</v>
      </c>
      <c r="S23" s="659"/>
      <c r="T23" s="659"/>
      <c r="W23" s="659">
        <v>0</v>
      </c>
      <c r="X23" s="659"/>
      <c r="Y23" s="659"/>
      <c r="Z23" s="659"/>
      <c r="AA23" s="659"/>
      <c r="AB23" s="659"/>
      <c r="AD23" s="658">
        <v>4386.92</v>
      </c>
      <c r="AE23" s="658"/>
      <c r="AF23" s="658"/>
      <c r="AG23" s="658"/>
      <c r="AH23" s="658"/>
      <c r="AI23" s="658"/>
      <c r="AJ23" s="658"/>
      <c r="AK23" s="157">
        <v>2</v>
      </c>
    </row>
    <row r="24" spans="1:37" s="93" customFormat="1" ht="11.1" customHeight="1" x14ac:dyDescent="0.25">
      <c r="A24" s="663" t="s">
        <v>2617</v>
      </c>
      <c r="B24" s="663"/>
      <c r="C24" s="663"/>
      <c r="K24" s="663" t="s">
        <v>1585</v>
      </c>
      <c r="L24" s="663"/>
      <c r="M24" s="663"/>
      <c r="N24" s="663"/>
      <c r="O24" s="664">
        <v>4178.9799999999996</v>
      </c>
      <c r="P24" s="664"/>
      <c r="R24" s="665">
        <v>76.88</v>
      </c>
      <c r="S24" s="665"/>
      <c r="T24" s="665"/>
      <c r="W24" s="665">
        <v>0</v>
      </c>
      <c r="X24" s="665"/>
      <c r="Y24" s="665"/>
      <c r="Z24" s="665"/>
      <c r="AA24" s="665"/>
      <c r="AB24" s="665"/>
      <c r="AD24" s="664">
        <v>4255.8599999999997</v>
      </c>
      <c r="AE24" s="664"/>
      <c r="AF24" s="664"/>
      <c r="AG24" s="664"/>
      <c r="AH24" s="664"/>
      <c r="AI24" s="664"/>
      <c r="AJ24" s="664"/>
      <c r="AK24" s="93">
        <v>1</v>
      </c>
    </row>
    <row r="25" spans="1:37" ht="11.1" customHeight="1" x14ac:dyDescent="0.25">
      <c r="A25" s="666" t="s">
        <v>2618</v>
      </c>
      <c r="B25" s="666"/>
      <c r="C25" s="666"/>
      <c r="K25" s="666" t="s">
        <v>1587</v>
      </c>
      <c r="L25" s="666"/>
      <c r="M25" s="666"/>
      <c r="N25" s="666"/>
      <c r="O25" s="667">
        <v>2413.13</v>
      </c>
      <c r="P25" s="667"/>
      <c r="R25" s="668">
        <v>148.12</v>
      </c>
      <c r="S25" s="668"/>
      <c r="T25" s="668"/>
      <c r="W25" s="668">
        <v>0</v>
      </c>
      <c r="X25" s="668"/>
      <c r="Y25" s="668"/>
      <c r="Z25" s="668"/>
      <c r="AA25" s="668"/>
      <c r="AB25" s="668"/>
      <c r="AD25" s="667">
        <v>2561.25</v>
      </c>
      <c r="AE25" s="667"/>
      <c r="AF25" s="667"/>
      <c r="AG25" s="667"/>
      <c r="AH25" s="667"/>
      <c r="AI25" s="667"/>
      <c r="AJ25" s="667"/>
      <c r="AK25">
        <v>11</v>
      </c>
    </row>
    <row r="26" spans="1:37" s="93" customFormat="1" ht="11.1" customHeight="1" x14ac:dyDescent="0.25">
      <c r="A26" s="663" t="s">
        <v>2619</v>
      </c>
      <c r="B26" s="663"/>
      <c r="C26" s="663"/>
      <c r="K26" s="663" t="s">
        <v>1589</v>
      </c>
      <c r="L26" s="663"/>
      <c r="M26" s="663"/>
      <c r="N26" s="663"/>
      <c r="O26" s="664">
        <v>16911</v>
      </c>
      <c r="P26" s="664"/>
      <c r="R26" s="665">
        <v>6297.99</v>
      </c>
      <c r="S26" s="665"/>
      <c r="T26" s="665"/>
      <c r="W26" s="665">
        <v>0</v>
      </c>
      <c r="X26" s="665"/>
      <c r="Y26" s="665"/>
      <c r="Z26" s="665"/>
      <c r="AA26" s="665"/>
      <c r="AB26" s="665"/>
      <c r="AD26" s="664">
        <v>23208.99</v>
      </c>
      <c r="AE26" s="664"/>
      <c r="AF26" s="664"/>
      <c r="AG26" s="664"/>
      <c r="AH26" s="664"/>
      <c r="AI26" s="664"/>
      <c r="AJ26" s="664"/>
      <c r="AK26" s="93">
        <v>1</v>
      </c>
    </row>
    <row r="27" spans="1:37" s="365" customFormat="1" ht="11.1" customHeight="1" x14ac:dyDescent="0.25">
      <c r="A27" s="660" t="s">
        <v>2620</v>
      </c>
      <c r="B27" s="660"/>
      <c r="C27" s="660"/>
      <c r="K27" s="660" t="s">
        <v>1090</v>
      </c>
      <c r="L27" s="660"/>
      <c r="M27" s="660"/>
      <c r="N27" s="660"/>
      <c r="O27" s="661">
        <v>94282.68</v>
      </c>
      <c r="P27" s="661"/>
      <c r="R27" s="662">
        <v>8925.1299999999992</v>
      </c>
      <c r="S27" s="662"/>
      <c r="T27" s="662"/>
      <c r="W27" s="662">
        <v>0.04</v>
      </c>
      <c r="X27" s="662"/>
      <c r="Y27" s="662"/>
      <c r="Z27" s="662"/>
      <c r="AA27" s="662"/>
      <c r="AB27" s="662"/>
      <c r="AD27" s="661">
        <v>103207.77</v>
      </c>
      <c r="AE27" s="661"/>
      <c r="AF27" s="661"/>
      <c r="AG27" s="661"/>
      <c r="AH27" s="661"/>
      <c r="AI27" s="661"/>
      <c r="AJ27" s="661"/>
      <c r="AK27" s="365">
        <v>9</v>
      </c>
    </row>
    <row r="28" spans="1:37" s="157" customFormat="1" ht="11.1" customHeight="1" x14ac:dyDescent="0.25">
      <c r="A28" s="657" t="s">
        <v>2621</v>
      </c>
      <c r="B28" s="657"/>
      <c r="C28" s="657"/>
      <c r="K28" s="657" t="s">
        <v>1092</v>
      </c>
      <c r="L28" s="657"/>
      <c r="M28" s="657"/>
      <c r="N28" s="657"/>
      <c r="O28" s="658">
        <v>28016.73</v>
      </c>
      <c r="P28" s="658"/>
      <c r="R28" s="659">
        <v>2615.4</v>
      </c>
      <c r="S28" s="659"/>
      <c r="T28" s="659"/>
      <c r="W28" s="659">
        <v>0</v>
      </c>
      <c r="X28" s="659"/>
      <c r="Y28" s="659"/>
      <c r="Z28" s="659"/>
      <c r="AA28" s="659"/>
      <c r="AB28" s="659"/>
      <c r="AD28" s="658">
        <v>30632.13</v>
      </c>
      <c r="AE28" s="658"/>
      <c r="AF28" s="658"/>
      <c r="AG28" s="658"/>
      <c r="AH28" s="658"/>
      <c r="AI28" s="658"/>
      <c r="AJ28" s="658"/>
      <c r="AK28" s="157">
        <v>2</v>
      </c>
    </row>
    <row r="29" spans="1:37" s="157" customFormat="1" ht="11.1" customHeight="1" x14ac:dyDescent="0.25">
      <c r="A29" s="657" t="s">
        <v>2622</v>
      </c>
      <c r="B29" s="657"/>
      <c r="C29" s="657"/>
      <c r="K29" s="657" t="s">
        <v>1610</v>
      </c>
      <c r="L29" s="657"/>
      <c r="M29" s="657"/>
      <c r="N29" s="657"/>
      <c r="O29" s="658">
        <v>153697.35</v>
      </c>
      <c r="P29" s="658"/>
      <c r="R29" s="659">
        <v>28174.05</v>
      </c>
      <c r="S29" s="659"/>
      <c r="T29" s="659"/>
      <c r="W29" s="659">
        <v>0</v>
      </c>
      <c r="X29" s="659"/>
      <c r="Y29" s="659"/>
      <c r="Z29" s="659"/>
      <c r="AA29" s="659"/>
      <c r="AB29" s="659"/>
      <c r="AD29" s="658">
        <v>181871.4</v>
      </c>
      <c r="AE29" s="658"/>
      <c r="AF29" s="658"/>
      <c r="AG29" s="658"/>
      <c r="AH29" s="658"/>
      <c r="AI29" s="658"/>
      <c r="AJ29" s="658"/>
      <c r="AK29" s="157">
        <v>2</v>
      </c>
    </row>
    <row r="30" spans="1:37" s="365" customFormat="1" ht="11.1" customHeight="1" x14ac:dyDescent="0.25">
      <c r="A30" s="660" t="s">
        <v>2623</v>
      </c>
      <c r="B30" s="660"/>
      <c r="C30" s="660"/>
      <c r="K30" s="660" t="s">
        <v>1090</v>
      </c>
      <c r="L30" s="660"/>
      <c r="M30" s="660"/>
      <c r="N30" s="660"/>
      <c r="O30" s="661">
        <v>147584.9</v>
      </c>
      <c r="P30" s="661"/>
      <c r="R30" s="662">
        <v>13517.54</v>
      </c>
      <c r="S30" s="662"/>
      <c r="T30" s="662"/>
      <c r="W30" s="662">
        <v>0</v>
      </c>
      <c r="X30" s="662"/>
      <c r="Y30" s="662"/>
      <c r="Z30" s="662"/>
      <c r="AA30" s="662"/>
      <c r="AB30" s="662"/>
      <c r="AD30" s="661">
        <v>161102.44</v>
      </c>
      <c r="AE30" s="661"/>
      <c r="AF30" s="661"/>
      <c r="AG30" s="661"/>
      <c r="AH30" s="661"/>
      <c r="AI30" s="661"/>
      <c r="AJ30" s="661"/>
      <c r="AK30" s="365">
        <v>9</v>
      </c>
    </row>
    <row r="31" spans="1:37" s="157" customFormat="1" ht="11.1" customHeight="1" x14ac:dyDescent="0.25">
      <c r="A31" s="657" t="s">
        <v>2624</v>
      </c>
      <c r="B31" s="657"/>
      <c r="C31" s="657"/>
      <c r="K31" s="657" t="s">
        <v>1092</v>
      </c>
      <c r="L31" s="657"/>
      <c r="M31" s="657"/>
      <c r="N31" s="657"/>
      <c r="O31" s="658">
        <v>43793.97</v>
      </c>
      <c r="P31" s="658"/>
      <c r="R31" s="659">
        <v>3961.15</v>
      </c>
      <c r="S31" s="659"/>
      <c r="T31" s="659"/>
      <c r="W31" s="659">
        <v>0</v>
      </c>
      <c r="X31" s="659"/>
      <c r="Y31" s="659"/>
      <c r="Z31" s="659"/>
      <c r="AA31" s="659"/>
      <c r="AB31" s="659"/>
      <c r="AD31" s="658">
        <v>47755.12</v>
      </c>
      <c r="AE31" s="658"/>
      <c r="AF31" s="658"/>
      <c r="AG31" s="658"/>
      <c r="AH31" s="658"/>
      <c r="AI31" s="658"/>
      <c r="AJ31" s="658"/>
      <c r="AK31" s="157">
        <v>2</v>
      </c>
    </row>
    <row r="32" spans="1:37" s="380" customFormat="1" ht="11.1" customHeight="1" x14ac:dyDescent="0.25">
      <c r="A32" s="651" t="s">
        <v>2625</v>
      </c>
      <c r="B32" s="651"/>
      <c r="C32" s="651"/>
      <c r="K32" s="651" t="s">
        <v>1624</v>
      </c>
      <c r="L32" s="651"/>
      <c r="M32" s="651"/>
      <c r="N32" s="651"/>
      <c r="O32" s="652">
        <v>27822.6</v>
      </c>
      <c r="P32" s="652"/>
      <c r="R32" s="653">
        <v>2566.6799999999998</v>
      </c>
      <c r="S32" s="653"/>
      <c r="T32" s="653"/>
      <c r="W32" s="653">
        <v>0</v>
      </c>
      <c r="X32" s="653"/>
      <c r="Y32" s="653"/>
      <c r="Z32" s="653"/>
      <c r="AA32" s="653"/>
      <c r="AB32" s="653"/>
      <c r="AD32" s="652">
        <v>30389.279999999999</v>
      </c>
      <c r="AE32" s="652"/>
      <c r="AF32" s="652"/>
      <c r="AG32" s="652"/>
      <c r="AH32" s="652"/>
      <c r="AI32" s="652"/>
      <c r="AJ32" s="652"/>
      <c r="AK32" s="380">
        <v>3</v>
      </c>
    </row>
    <row r="33" spans="1:37" s="380" customFormat="1" ht="11.1" customHeight="1" x14ac:dyDescent="0.25">
      <c r="A33" s="651" t="s">
        <v>2626</v>
      </c>
      <c r="B33" s="651"/>
      <c r="C33" s="651"/>
      <c r="K33" s="651" t="s">
        <v>1620</v>
      </c>
      <c r="L33" s="651"/>
      <c r="M33" s="651"/>
      <c r="N33" s="651"/>
      <c r="O33" s="652">
        <v>9880.42</v>
      </c>
      <c r="P33" s="652"/>
      <c r="R33" s="653">
        <v>871.74</v>
      </c>
      <c r="S33" s="653"/>
      <c r="T33" s="653"/>
      <c r="W33" s="653">
        <v>0</v>
      </c>
      <c r="X33" s="653"/>
      <c r="Y33" s="653"/>
      <c r="Z33" s="653"/>
      <c r="AA33" s="653"/>
      <c r="AB33" s="653"/>
      <c r="AD33" s="652">
        <v>10752.16</v>
      </c>
      <c r="AE33" s="652"/>
      <c r="AF33" s="652"/>
      <c r="AG33" s="652"/>
      <c r="AH33" s="652"/>
      <c r="AI33" s="652"/>
      <c r="AJ33" s="652"/>
      <c r="AK33" s="380">
        <v>3</v>
      </c>
    </row>
    <row r="34" spans="1:37" s="380" customFormat="1" ht="11.1" customHeight="1" x14ac:dyDescent="0.25">
      <c r="A34" s="651" t="s">
        <v>2627</v>
      </c>
      <c r="B34" s="651"/>
      <c r="C34" s="651"/>
      <c r="K34" s="651" t="s">
        <v>1624</v>
      </c>
      <c r="L34" s="651"/>
      <c r="M34" s="651"/>
      <c r="N34" s="651"/>
      <c r="O34" s="652">
        <v>47914.87</v>
      </c>
      <c r="P34" s="652"/>
      <c r="R34" s="653">
        <v>4245.3599999999997</v>
      </c>
      <c r="S34" s="653"/>
      <c r="T34" s="653"/>
      <c r="W34" s="653">
        <v>0</v>
      </c>
      <c r="X34" s="653"/>
      <c r="Y34" s="653"/>
      <c r="Z34" s="653"/>
      <c r="AA34" s="653"/>
      <c r="AB34" s="653"/>
      <c r="AD34" s="652">
        <v>52160.23</v>
      </c>
      <c r="AE34" s="652"/>
      <c r="AF34" s="652"/>
      <c r="AG34" s="652"/>
      <c r="AH34" s="652"/>
      <c r="AI34" s="652"/>
      <c r="AJ34" s="652"/>
      <c r="AK34" s="380">
        <v>3</v>
      </c>
    </row>
    <row r="35" spans="1:37" s="382" customFormat="1" ht="11.1" customHeight="1" x14ac:dyDescent="0.25">
      <c r="A35" s="645" t="s">
        <v>2628</v>
      </c>
      <c r="B35" s="645"/>
      <c r="C35" s="645"/>
      <c r="K35" s="645" t="s">
        <v>1633</v>
      </c>
      <c r="L35" s="645"/>
      <c r="M35" s="645"/>
      <c r="N35" s="645"/>
      <c r="O35" s="646">
        <v>49360.2</v>
      </c>
      <c r="P35" s="646"/>
      <c r="R35" s="647">
        <v>0</v>
      </c>
      <c r="S35" s="647"/>
      <c r="T35" s="647"/>
      <c r="W35" s="647">
        <v>0</v>
      </c>
      <c r="X35" s="647"/>
      <c r="Y35" s="647"/>
      <c r="Z35" s="647"/>
      <c r="AA35" s="647"/>
      <c r="AB35" s="647"/>
      <c r="AD35" s="646">
        <v>49360.2</v>
      </c>
      <c r="AE35" s="646"/>
      <c r="AF35" s="646"/>
      <c r="AG35" s="646"/>
      <c r="AH35" s="646"/>
      <c r="AI35" s="646"/>
      <c r="AJ35" s="646"/>
      <c r="AK35" s="382">
        <v>7</v>
      </c>
    </row>
    <row r="36" spans="1:37" s="382" customFormat="1" ht="11.1" customHeight="1" x14ac:dyDescent="0.25">
      <c r="A36" s="645" t="s">
        <v>2629</v>
      </c>
      <c r="B36" s="645"/>
      <c r="C36" s="645"/>
      <c r="K36" s="645" t="s">
        <v>1630</v>
      </c>
      <c r="L36" s="645"/>
      <c r="M36" s="645"/>
      <c r="N36" s="645"/>
      <c r="O36" s="646">
        <v>58240.81</v>
      </c>
      <c r="P36" s="646"/>
      <c r="R36" s="647">
        <v>0</v>
      </c>
      <c r="S36" s="647"/>
      <c r="T36" s="647"/>
      <c r="W36" s="647">
        <v>0</v>
      </c>
      <c r="X36" s="647"/>
      <c r="Y36" s="647"/>
      <c r="Z36" s="647"/>
      <c r="AA36" s="647"/>
      <c r="AB36" s="647"/>
      <c r="AD36" s="646">
        <v>58240.81</v>
      </c>
      <c r="AE36" s="646"/>
      <c r="AF36" s="646"/>
      <c r="AG36" s="646"/>
      <c r="AH36" s="646"/>
      <c r="AI36" s="646"/>
      <c r="AJ36" s="646"/>
      <c r="AK36" s="382">
        <v>7</v>
      </c>
    </row>
    <row r="37" spans="1:37" s="382" customFormat="1" ht="11.1" customHeight="1" x14ac:dyDescent="0.25">
      <c r="A37" s="645" t="s">
        <v>2630</v>
      </c>
      <c r="B37" s="645"/>
      <c r="C37" s="645"/>
      <c r="K37" s="645" t="s">
        <v>1633</v>
      </c>
      <c r="L37" s="645"/>
      <c r="M37" s="645"/>
      <c r="N37" s="645"/>
      <c r="O37" s="646">
        <v>97910.25</v>
      </c>
      <c r="P37" s="646"/>
      <c r="R37" s="647">
        <v>0</v>
      </c>
      <c r="S37" s="647"/>
      <c r="T37" s="647"/>
      <c r="W37" s="647">
        <v>0</v>
      </c>
      <c r="X37" s="647"/>
      <c r="Y37" s="647"/>
      <c r="Z37" s="647"/>
      <c r="AA37" s="647"/>
      <c r="AB37" s="647"/>
      <c r="AD37" s="646">
        <v>97910.25</v>
      </c>
      <c r="AE37" s="646"/>
      <c r="AF37" s="646"/>
      <c r="AG37" s="646"/>
      <c r="AH37" s="646"/>
      <c r="AI37" s="646"/>
      <c r="AJ37" s="646"/>
      <c r="AK37" s="382">
        <v>7</v>
      </c>
    </row>
    <row r="38" spans="1:37" s="164" customFormat="1" ht="11.1" customHeight="1" x14ac:dyDescent="0.25">
      <c r="A38" s="675" t="s">
        <v>2631</v>
      </c>
      <c r="B38" s="675"/>
      <c r="C38" s="675"/>
      <c r="K38" s="675" t="s">
        <v>503</v>
      </c>
      <c r="L38" s="675"/>
      <c r="M38" s="675"/>
      <c r="N38" s="675"/>
      <c r="O38" s="676">
        <v>38613.980000000003</v>
      </c>
      <c r="P38" s="676"/>
      <c r="R38" s="677">
        <v>2680.04</v>
      </c>
      <c r="S38" s="677"/>
      <c r="T38" s="677"/>
      <c r="W38" s="677">
        <v>0</v>
      </c>
      <c r="X38" s="677"/>
      <c r="Y38" s="677"/>
      <c r="Z38" s="677"/>
      <c r="AA38" s="677"/>
      <c r="AB38" s="677"/>
      <c r="AD38" s="676">
        <v>41294.019999999997</v>
      </c>
      <c r="AE38" s="676"/>
      <c r="AF38" s="676"/>
      <c r="AG38" s="676"/>
      <c r="AH38" s="676"/>
      <c r="AI38" s="676"/>
      <c r="AJ38" s="676"/>
      <c r="AK38" s="164">
        <v>4</v>
      </c>
    </row>
    <row r="39" spans="1:37" s="164" customFormat="1" ht="11.1" customHeight="1" x14ac:dyDescent="0.25">
      <c r="A39" s="675" t="s">
        <v>2632</v>
      </c>
      <c r="B39" s="675"/>
      <c r="C39" s="675"/>
      <c r="K39" s="675" t="s">
        <v>501</v>
      </c>
      <c r="L39" s="675"/>
      <c r="M39" s="675"/>
      <c r="N39" s="675"/>
      <c r="O39" s="676">
        <v>25156.799999999999</v>
      </c>
      <c r="P39" s="676"/>
      <c r="R39" s="677">
        <v>6966.75</v>
      </c>
      <c r="S39" s="677"/>
      <c r="T39" s="677"/>
      <c r="W39" s="677">
        <v>0</v>
      </c>
      <c r="X39" s="677"/>
      <c r="Y39" s="677"/>
      <c r="Z39" s="677"/>
      <c r="AA39" s="677"/>
      <c r="AB39" s="677"/>
      <c r="AD39" s="676">
        <v>32123.55</v>
      </c>
      <c r="AE39" s="676"/>
      <c r="AF39" s="676"/>
      <c r="AG39" s="676"/>
      <c r="AH39" s="676"/>
      <c r="AI39" s="676"/>
      <c r="AJ39" s="676"/>
      <c r="AK39" s="164">
        <v>4</v>
      </c>
    </row>
    <row r="40" spans="1:37" s="381" customFormat="1" ht="11.1" customHeight="1" x14ac:dyDescent="0.25">
      <c r="A40" s="672" t="s">
        <v>2633</v>
      </c>
      <c r="B40" s="672"/>
      <c r="C40" s="672"/>
      <c r="K40" s="672" t="s">
        <v>1645</v>
      </c>
      <c r="L40" s="672"/>
      <c r="M40" s="672"/>
      <c r="N40" s="672"/>
      <c r="O40" s="673">
        <v>37438.379999999997</v>
      </c>
      <c r="P40" s="673"/>
      <c r="R40" s="674">
        <v>5361.21</v>
      </c>
      <c r="S40" s="674"/>
      <c r="T40" s="674"/>
      <c r="W40" s="674">
        <v>0</v>
      </c>
      <c r="X40" s="674"/>
      <c r="Y40" s="674"/>
      <c r="Z40" s="674"/>
      <c r="AA40" s="674"/>
      <c r="AB40" s="674"/>
      <c r="AD40" s="673">
        <v>42799.59</v>
      </c>
      <c r="AE40" s="673"/>
      <c r="AF40" s="673"/>
      <c r="AG40" s="673"/>
      <c r="AH40" s="673"/>
      <c r="AI40" s="673"/>
      <c r="AJ40" s="673"/>
      <c r="AK40" s="381">
        <v>6</v>
      </c>
    </row>
    <row r="41" spans="1:37" s="381" customFormat="1" ht="11.1" customHeight="1" x14ac:dyDescent="0.25">
      <c r="A41" s="672" t="s">
        <v>2634</v>
      </c>
      <c r="B41" s="672"/>
      <c r="C41" s="672"/>
      <c r="K41" s="672" t="s">
        <v>1647</v>
      </c>
      <c r="L41" s="672"/>
      <c r="M41" s="672"/>
      <c r="N41" s="672"/>
      <c r="O41" s="673">
        <v>1200.05</v>
      </c>
      <c r="P41" s="673"/>
      <c r="R41" s="674">
        <v>104.8</v>
      </c>
      <c r="S41" s="674"/>
      <c r="T41" s="674"/>
      <c r="W41" s="674">
        <v>0</v>
      </c>
      <c r="X41" s="674"/>
      <c r="Y41" s="674"/>
      <c r="Z41" s="674"/>
      <c r="AA41" s="674"/>
      <c r="AB41" s="674"/>
      <c r="AD41" s="673">
        <v>1304.8499999999999</v>
      </c>
      <c r="AE41" s="673"/>
      <c r="AF41" s="673"/>
      <c r="AG41" s="673"/>
      <c r="AH41" s="673"/>
      <c r="AI41" s="673"/>
      <c r="AJ41" s="673"/>
      <c r="AK41" s="381">
        <v>6</v>
      </c>
    </row>
    <row r="42" spans="1:37" s="381" customFormat="1" ht="11.1" customHeight="1" x14ac:dyDescent="0.25">
      <c r="A42" s="672" t="s">
        <v>2635</v>
      </c>
      <c r="B42" s="672"/>
      <c r="C42" s="672"/>
      <c r="K42" s="672" t="s">
        <v>1640</v>
      </c>
      <c r="L42" s="672"/>
      <c r="M42" s="672"/>
      <c r="N42" s="672"/>
      <c r="O42" s="673">
        <v>111975.19</v>
      </c>
      <c r="P42" s="673"/>
      <c r="R42" s="674">
        <v>18483.72</v>
      </c>
      <c r="S42" s="674"/>
      <c r="T42" s="674"/>
      <c r="W42" s="674">
        <v>0</v>
      </c>
      <c r="X42" s="674"/>
      <c r="Y42" s="674"/>
      <c r="Z42" s="674"/>
      <c r="AA42" s="674"/>
      <c r="AB42" s="674"/>
      <c r="AD42" s="673">
        <v>130458.91</v>
      </c>
      <c r="AE42" s="673"/>
      <c r="AF42" s="673"/>
      <c r="AG42" s="673"/>
      <c r="AH42" s="673"/>
      <c r="AI42" s="673"/>
      <c r="AJ42" s="673"/>
      <c r="AK42" s="381">
        <v>6</v>
      </c>
    </row>
    <row r="43" spans="1:37" s="164" customFormat="1" ht="11.1" customHeight="1" x14ac:dyDescent="0.25">
      <c r="A43" s="675" t="s">
        <v>2636</v>
      </c>
      <c r="B43" s="675"/>
      <c r="C43" s="675"/>
      <c r="K43" s="675" t="s">
        <v>503</v>
      </c>
      <c r="L43" s="675"/>
      <c r="M43" s="675"/>
      <c r="N43" s="675"/>
      <c r="O43" s="676">
        <v>84560.75</v>
      </c>
      <c r="P43" s="676"/>
      <c r="R43" s="677">
        <v>6041.25</v>
      </c>
      <c r="S43" s="677"/>
      <c r="T43" s="677"/>
      <c r="W43" s="677">
        <v>0</v>
      </c>
      <c r="X43" s="677"/>
      <c r="Y43" s="677"/>
      <c r="Z43" s="677"/>
      <c r="AA43" s="677"/>
      <c r="AB43" s="677"/>
      <c r="AD43" s="676">
        <v>90602</v>
      </c>
      <c r="AE43" s="676"/>
      <c r="AF43" s="676"/>
      <c r="AG43" s="676"/>
      <c r="AH43" s="676"/>
      <c r="AI43" s="676"/>
      <c r="AJ43" s="676"/>
      <c r="AK43" s="164">
        <v>4</v>
      </c>
    </row>
    <row r="44" spans="1:37" s="164" customFormat="1" ht="11.1" customHeight="1" x14ac:dyDescent="0.25">
      <c r="A44" s="675" t="s">
        <v>2637</v>
      </c>
      <c r="B44" s="675"/>
      <c r="C44" s="675"/>
      <c r="K44" s="675" t="s">
        <v>501</v>
      </c>
      <c r="L44" s="675"/>
      <c r="M44" s="675"/>
      <c r="N44" s="675"/>
      <c r="O44" s="676">
        <v>53737.13</v>
      </c>
      <c r="P44" s="676"/>
      <c r="R44" s="677">
        <v>12582.31</v>
      </c>
      <c r="S44" s="677"/>
      <c r="T44" s="677"/>
      <c r="W44" s="677">
        <v>0</v>
      </c>
      <c r="X44" s="677"/>
      <c r="Y44" s="677"/>
      <c r="Z44" s="677"/>
      <c r="AA44" s="677"/>
      <c r="AB44" s="677"/>
      <c r="AD44" s="676">
        <v>66319.44</v>
      </c>
      <c r="AE44" s="676"/>
      <c r="AF44" s="676"/>
      <c r="AG44" s="676"/>
      <c r="AH44" s="676"/>
      <c r="AI44" s="676"/>
      <c r="AJ44" s="676"/>
      <c r="AK44" s="164">
        <v>4</v>
      </c>
    </row>
    <row r="45" spans="1:37" s="381" customFormat="1" ht="11.1" customHeight="1" x14ac:dyDescent="0.25">
      <c r="A45" s="672" t="s">
        <v>2638</v>
      </c>
      <c r="B45" s="672"/>
      <c r="C45" s="672"/>
      <c r="K45" s="672" t="s">
        <v>505</v>
      </c>
      <c r="L45" s="672"/>
      <c r="M45" s="672"/>
      <c r="N45" s="672"/>
      <c r="O45" s="673">
        <v>-52.22</v>
      </c>
      <c r="P45" s="673"/>
      <c r="R45" s="674">
        <v>52.22</v>
      </c>
      <c r="S45" s="674"/>
      <c r="T45" s="674"/>
      <c r="W45" s="674">
        <v>0</v>
      </c>
      <c r="X45" s="674"/>
      <c r="Y45" s="674"/>
      <c r="Z45" s="674"/>
      <c r="AA45" s="674"/>
      <c r="AB45" s="674"/>
      <c r="AD45" s="673">
        <v>0</v>
      </c>
      <c r="AE45" s="673"/>
      <c r="AF45" s="673"/>
      <c r="AG45" s="673"/>
      <c r="AH45" s="673"/>
      <c r="AI45" s="673"/>
      <c r="AJ45" s="673"/>
      <c r="AK45" s="381">
        <v>6</v>
      </c>
    </row>
    <row r="46" spans="1:37" s="381" customFormat="1" ht="11.1" customHeight="1" x14ac:dyDescent="0.25">
      <c r="A46" s="672" t="s">
        <v>2639</v>
      </c>
      <c r="B46" s="672"/>
      <c r="C46" s="672"/>
      <c r="K46" s="672" t="s">
        <v>1645</v>
      </c>
      <c r="L46" s="672"/>
      <c r="M46" s="672"/>
      <c r="N46" s="672"/>
      <c r="O46" s="673">
        <v>55942.12</v>
      </c>
      <c r="P46" s="673"/>
      <c r="R46" s="674">
        <v>8007.55</v>
      </c>
      <c r="S46" s="674"/>
      <c r="T46" s="674"/>
      <c r="W46" s="674">
        <v>0</v>
      </c>
      <c r="X46" s="674"/>
      <c r="Y46" s="674"/>
      <c r="Z46" s="674"/>
      <c r="AA46" s="674"/>
      <c r="AB46" s="674"/>
      <c r="AD46" s="673">
        <v>63949.67</v>
      </c>
      <c r="AE46" s="673"/>
      <c r="AF46" s="673"/>
      <c r="AG46" s="673"/>
      <c r="AH46" s="673"/>
      <c r="AI46" s="673"/>
      <c r="AJ46" s="673"/>
      <c r="AK46" s="381">
        <v>6</v>
      </c>
    </row>
    <row r="47" spans="1:37" s="381" customFormat="1" ht="11.1" customHeight="1" x14ac:dyDescent="0.25">
      <c r="A47" s="672" t="s">
        <v>2640</v>
      </c>
      <c r="B47" s="672"/>
      <c r="C47" s="672"/>
      <c r="K47" s="672" t="s">
        <v>1656</v>
      </c>
      <c r="L47" s="672"/>
      <c r="M47" s="672"/>
      <c r="N47" s="672"/>
      <c r="O47" s="673">
        <v>2514.35</v>
      </c>
      <c r="P47" s="673"/>
      <c r="R47" s="674">
        <v>188.64</v>
      </c>
      <c r="S47" s="674"/>
      <c r="T47" s="674"/>
      <c r="W47" s="674">
        <v>0</v>
      </c>
      <c r="X47" s="674"/>
      <c r="Y47" s="674"/>
      <c r="Z47" s="674"/>
      <c r="AA47" s="674"/>
      <c r="AB47" s="674"/>
      <c r="AD47" s="673">
        <v>2702.99</v>
      </c>
      <c r="AE47" s="673"/>
      <c r="AF47" s="673"/>
      <c r="AG47" s="673"/>
      <c r="AH47" s="673"/>
      <c r="AI47" s="673"/>
      <c r="AJ47" s="673"/>
      <c r="AK47" s="381">
        <v>6</v>
      </c>
    </row>
    <row r="48" spans="1:37" ht="11.1" customHeight="1" x14ac:dyDescent="0.25">
      <c r="A48" s="666" t="s">
        <v>2641</v>
      </c>
      <c r="B48" s="666"/>
      <c r="C48" s="666"/>
      <c r="K48" s="666" t="s">
        <v>2487</v>
      </c>
      <c r="L48" s="666"/>
      <c r="M48" s="666"/>
      <c r="N48" s="666"/>
      <c r="O48" s="667">
        <v>879</v>
      </c>
      <c r="P48" s="667"/>
      <c r="R48" s="668">
        <v>0</v>
      </c>
      <c r="S48" s="668"/>
      <c r="T48" s="668"/>
      <c r="W48" s="668">
        <v>0</v>
      </c>
      <c r="X48" s="668"/>
      <c r="Y48" s="668"/>
      <c r="Z48" s="668"/>
      <c r="AA48" s="668"/>
      <c r="AB48" s="668"/>
      <c r="AD48" s="667">
        <v>879</v>
      </c>
      <c r="AE48" s="667"/>
      <c r="AF48" s="667"/>
      <c r="AG48" s="667"/>
      <c r="AH48" s="667"/>
      <c r="AI48" s="667"/>
      <c r="AJ48" s="667"/>
      <c r="AK48">
        <v>11</v>
      </c>
    </row>
    <row r="49" spans="1:37" s="93" customFormat="1" ht="11.1" customHeight="1" x14ac:dyDescent="0.25">
      <c r="A49" s="663" t="s">
        <v>2642</v>
      </c>
      <c r="B49" s="663"/>
      <c r="C49" s="663"/>
      <c r="K49" s="663" t="s">
        <v>1571</v>
      </c>
      <c r="L49" s="663"/>
      <c r="M49" s="663"/>
      <c r="N49" s="663"/>
      <c r="O49" s="664">
        <v>310088.15000000002</v>
      </c>
      <c r="P49" s="664"/>
      <c r="R49" s="665">
        <v>26046.36</v>
      </c>
      <c r="S49" s="665"/>
      <c r="T49" s="665"/>
      <c r="W49" s="665">
        <v>2193.98</v>
      </c>
      <c r="X49" s="665"/>
      <c r="Y49" s="665"/>
      <c r="Z49" s="665"/>
      <c r="AA49" s="665"/>
      <c r="AB49" s="665"/>
      <c r="AD49" s="664">
        <v>333940.53000000003</v>
      </c>
      <c r="AE49" s="664"/>
      <c r="AF49" s="664"/>
      <c r="AG49" s="664"/>
      <c r="AH49" s="664"/>
      <c r="AI49" s="664"/>
      <c r="AJ49" s="664"/>
      <c r="AK49" s="93">
        <v>1</v>
      </c>
    </row>
    <row r="50" spans="1:37" s="108" customFormat="1" ht="11.1" customHeight="1" x14ac:dyDescent="0.25">
      <c r="A50" s="669" t="s">
        <v>2643</v>
      </c>
      <c r="B50" s="669"/>
      <c r="C50" s="669"/>
      <c r="K50" s="669" t="s">
        <v>1573</v>
      </c>
      <c r="L50" s="669"/>
      <c r="M50" s="669"/>
      <c r="N50" s="669"/>
      <c r="O50" s="670">
        <v>39744.51</v>
      </c>
      <c r="P50" s="670"/>
      <c r="R50" s="671">
        <v>3838.41</v>
      </c>
      <c r="S50" s="671"/>
      <c r="T50" s="671"/>
      <c r="W50" s="671">
        <v>0</v>
      </c>
      <c r="X50" s="671"/>
      <c r="Y50" s="671"/>
      <c r="Z50" s="671"/>
      <c r="AA50" s="671"/>
      <c r="AB50" s="671"/>
      <c r="AD50" s="670">
        <v>43582.92</v>
      </c>
      <c r="AE50" s="670"/>
      <c r="AF50" s="670"/>
      <c r="AG50" s="670"/>
      <c r="AH50" s="670"/>
      <c r="AI50" s="670"/>
      <c r="AJ50" s="670"/>
      <c r="AK50" s="108">
        <v>5</v>
      </c>
    </row>
    <row r="51" spans="1:37" s="365" customFormat="1" ht="11.1" customHeight="1" x14ac:dyDescent="0.25">
      <c r="A51" s="660" t="s">
        <v>2644</v>
      </c>
      <c r="B51" s="660"/>
      <c r="C51" s="660"/>
      <c r="K51" s="660" t="s">
        <v>1575</v>
      </c>
      <c r="L51" s="660"/>
      <c r="M51" s="660"/>
      <c r="N51" s="660"/>
      <c r="O51" s="661">
        <v>7045.1</v>
      </c>
      <c r="P51" s="661"/>
      <c r="R51" s="662">
        <v>1047.8800000000001</v>
      </c>
      <c r="S51" s="662"/>
      <c r="T51" s="662"/>
      <c r="W51" s="662">
        <v>0</v>
      </c>
      <c r="X51" s="662"/>
      <c r="Y51" s="662"/>
      <c r="Z51" s="662"/>
      <c r="AA51" s="662"/>
      <c r="AB51" s="662"/>
      <c r="AD51" s="661">
        <v>8092.98</v>
      </c>
      <c r="AE51" s="661"/>
      <c r="AF51" s="661"/>
      <c r="AG51" s="661"/>
      <c r="AH51" s="661"/>
      <c r="AI51" s="661"/>
      <c r="AJ51" s="661"/>
      <c r="AK51" s="365">
        <v>9</v>
      </c>
    </row>
    <row r="52" spans="1:37" s="157" customFormat="1" ht="11.1" customHeight="1" x14ac:dyDescent="0.25">
      <c r="A52" s="657" t="s">
        <v>2645</v>
      </c>
      <c r="B52" s="657"/>
      <c r="C52" s="657"/>
      <c r="K52" s="657" t="s">
        <v>1577</v>
      </c>
      <c r="L52" s="657"/>
      <c r="M52" s="657"/>
      <c r="N52" s="657"/>
      <c r="O52" s="658">
        <v>2064.48</v>
      </c>
      <c r="P52" s="658"/>
      <c r="R52" s="659">
        <v>307.06</v>
      </c>
      <c r="S52" s="659"/>
      <c r="T52" s="659"/>
      <c r="W52" s="659">
        <v>0</v>
      </c>
      <c r="X52" s="659"/>
      <c r="Y52" s="659"/>
      <c r="Z52" s="659"/>
      <c r="AA52" s="659"/>
      <c r="AB52" s="659"/>
      <c r="AD52" s="658">
        <v>2371.54</v>
      </c>
      <c r="AE52" s="658"/>
      <c r="AF52" s="658"/>
      <c r="AG52" s="658"/>
      <c r="AH52" s="658"/>
      <c r="AI52" s="658"/>
      <c r="AJ52" s="658"/>
      <c r="AK52" s="157">
        <v>2</v>
      </c>
    </row>
    <row r="53" spans="1:37" s="108" customFormat="1" ht="11.1" customHeight="1" x14ac:dyDescent="0.25">
      <c r="A53" s="669" t="s">
        <v>2646</v>
      </c>
      <c r="B53" s="669"/>
      <c r="C53" s="669"/>
      <c r="K53" s="669" t="s">
        <v>1579</v>
      </c>
      <c r="L53" s="669"/>
      <c r="M53" s="669"/>
      <c r="N53" s="669"/>
      <c r="O53" s="670">
        <v>29841.58</v>
      </c>
      <c r="P53" s="670"/>
      <c r="R53" s="671">
        <v>2784.32</v>
      </c>
      <c r="S53" s="671"/>
      <c r="T53" s="671"/>
      <c r="W53" s="671">
        <v>0</v>
      </c>
      <c r="X53" s="671"/>
      <c r="Y53" s="671"/>
      <c r="Z53" s="671"/>
      <c r="AA53" s="671"/>
      <c r="AB53" s="671"/>
      <c r="AD53" s="670">
        <v>32625.9</v>
      </c>
      <c r="AE53" s="670"/>
      <c r="AF53" s="670"/>
      <c r="AG53" s="670"/>
      <c r="AH53" s="670"/>
      <c r="AI53" s="670"/>
      <c r="AJ53" s="670"/>
      <c r="AK53" s="108">
        <v>5</v>
      </c>
    </row>
    <row r="54" spans="1:37" s="365" customFormat="1" ht="11.1" customHeight="1" x14ac:dyDescent="0.25">
      <c r="A54" s="660" t="s">
        <v>2647</v>
      </c>
      <c r="B54" s="660"/>
      <c r="C54" s="660"/>
      <c r="K54" s="660" t="s">
        <v>1581</v>
      </c>
      <c r="L54" s="660"/>
      <c r="M54" s="660"/>
      <c r="N54" s="660"/>
      <c r="O54" s="661">
        <v>8146.75</v>
      </c>
      <c r="P54" s="661"/>
      <c r="R54" s="662">
        <v>760.12</v>
      </c>
      <c r="S54" s="662"/>
      <c r="T54" s="662"/>
      <c r="W54" s="662">
        <v>0</v>
      </c>
      <c r="X54" s="662"/>
      <c r="Y54" s="662"/>
      <c r="Z54" s="662"/>
      <c r="AA54" s="662"/>
      <c r="AB54" s="662"/>
      <c r="AD54" s="661">
        <v>8906.8700000000008</v>
      </c>
      <c r="AE54" s="661"/>
      <c r="AF54" s="661"/>
      <c r="AG54" s="661"/>
      <c r="AH54" s="661"/>
      <c r="AI54" s="661"/>
      <c r="AJ54" s="661"/>
      <c r="AK54" s="365">
        <v>9</v>
      </c>
    </row>
    <row r="55" spans="1:37" s="157" customFormat="1" ht="11.1" customHeight="1" x14ac:dyDescent="0.25">
      <c r="A55" s="657" t="s">
        <v>2648</v>
      </c>
      <c r="B55" s="657"/>
      <c r="C55" s="657"/>
      <c r="K55" s="657" t="s">
        <v>1583</v>
      </c>
      <c r="L55" s="657"/>
      <c r="M55" s="657"/>
      <c r="N55" s="657"/>
      <c r="O55" s="658">
        <v>2387.31</v>
      </c>
      <c r="P55" s="658"/>
      <c r="R55" s="659">
        <v>222.74</v>
      </c>
      <c r="S55" s="659"/>
      <c r="T55" s="659"/>
      <c r="W55" s="659">
        <v>0</v>
      </c>
      <c r="X55" s="659"/>
      <c r="Y55" s="659"/>
      <c r="Z55" s="659"/>
      <c r="AA55" s="659"/>
      <c r="AB55" s="659"/>
      <c r="AD55" s="658">
        <v>2610.0500000000002</v>
      </c>
      <c r="AE55" s="658"/>
      <c r="AF55" s="658"/>
      <c r="AG55" s="658"/>
      <c r="AH55" s="658"/>
      <c r="AI55" s="658"/>
      <c r="AJ55" s="658"/>
      <c r="AK55" s="157">
        <v>2</v>
      </c>
    </row>
    <row r="56" spans="1:37" s="93" customFormat="1" ht="11.1" customHeight="1" x14ac:dyDescent="0.25">
      <c r="A56" s="663" t="s">
        <v>2649</v>
      </c>
      <c r="B56" s="663"/>
      <c r="C56" s="663"/>
      <c r="K56" s="663" t="s">
        <v>1585</v>
      </c>
      <c r="L56" s="663"/>
      <c r="M56" s="663"/>
      <c r="N56" s="663"/>
      <c r="O56" s="664">
        <v>5522.58</v>
      </c>
      <c r="P56" s="664"/>
      <c r="R56" s="665">
        <v>554.73</v>
      </c>
      <c r="S56" s="665"/>
      <c r="T56" s="665"/>
      <c r="W56" s="665">
        <v>0</v>
      </c>
      <c r="X56" s="665"/>
      <c r="Y56" s="665"/>
      <c r="Z56" s="665"/>
      <c r="AA56" s="665"/>
      <c r="AB56" s="665"/>
      <c r="AD56" s="664">
        <v>6077.31</v>
      </c>
      <c r="AE56" s="664"/>
      <c r="AF56" s="664"/>
      <c r="AG56" s="664"/>
      <c r="AH56" s="664"/>
      <c r="AI56" s="664"/>
      <c r="AJ56" s="664"/>
      <c r="AK56" s="93">
        <v>1</v>
      </c>
    </row>
    <row r="57" spans="1:37" ht="11.1" customHeight="1" x14ac:dyDescent="0.25">
      <c r="A57" s="666" t="s">
        <v>2650</v>
      </c>
      <c r="B57" s="666"/>
      <c r="C57" s="666"/>
      <c r="K57" s="666" t="s">
        <v>1587</v>
      </c>
      <c r="L57" s="666"/>
      <c r="M57" s="666"/>
      <c r="N57" s="666"/>
      <c r="O57" s="667">
        <v>1124.32</v>
      </c>
      <c r="P57" s="667"/>
      <c r="R57" s="668">
        <v>180</v>
      </c>
      <c r="S57" s="668"/>
      <c r="T57" s="668"/>
      <c r="W57" s="668">
        <v>0</v>
      </c>
      <c r="X57" s="668"/>
      <c r="Y57" s="668"/>
      <c r="Z57" s="668"/>
      <c r="AA57" s="668"/>
      <c r="AB57" s="668"/>
      <c r="AD57" s="667">
        <v>1304.32</v>
      </c>
      <c r="AE57" s="667"/>
      <c r="AF57" s="667"/>
      <c r="AG57" s="667"/>
      <c r="AH57" s="667"/>
      <c r="AI57" s="667"/>
      <c r="AJ57" s="667"/>
      <c r="AK57">
        <v>11</v>
      </c>
    </row>
    <row r="58" spans="1:37" s="93" customFormat="1" ht="11.1" customHeight="1" x14ac:dyDescent="0.25">
      <c r="A58" s="663" t="s">
        <v>2651</v>
      </c>
      <c r="B58" s="663"/>
      <c r="C58" s="663"/>
      <c r="K58" s="663" t="s">
        <v>1589</v>
      </c>
      <c r="L58" s="663"/>
      <c r="M58" s="663"/>
      <c r="N58" s="663"/>
      <c r="O58" s="664">
        <v>21333.93</v>
      </c>
      <c r="P58" s="664"/>
      <c r="R58" s="665">
        <v>3174.19</v>
      </c>
      <c r="S58" s="665"/>
      <c r="T58" s="665"/>
      <c r="W58" s="665">
        <v>0</v>
      </c>
      <c r="X58" s="665"/>
      <c r="Y58" s="665"/>
      <c r="Z58" s="665"/>
      <c r="AA58" s="665"/>
      <c r="AB58" s="665"/>
      <c r="AD58" s="664">
        <v>24508.12</v>
      </c>
      <c r="AE58" s="664"/>
      <c r="AF58" s="664"/>
      <c r="AG58" s="664"/>
      <c r="AH58" s="664"/>
      <c r="AI58" s="664"/>
      <c r="AJ58" s="664"/>
      <c r="AK58" s="93">
        <v>1</v>
      </c>
    </row>
    <row r="59" spans="1:37" s="93" customFormat="1" ht="11.1" customHeight="1" x14ac:dyDescent="0.25">
      <c r="A59" s="663" t="s">
        <v>2652</v>
      </c>
      <c r="B59" s="663"/>
      <c r="C59" s="663"/>
      <c r="K59" s="663" t="s">
        <v>1571</v>
      </c>
      <c r="L59" s="663"/>
      <c r="M59" s="663"/>
      <c r="N59" s="663"/>
      <c r="O59" s="664">
        <v>858564.42</v>
      </c>
      <c r="P59" s="664"/>
      <c r="R59" s="665">
        <v>68910</v>
      </c>
      <c r="S59" s="665"/>
      <c r="T59" s="665"/>
      <c r="W59" s="665">
        <v>0</v>
      </c>
      <c r="X59" s="665"/>
      <c r="Y59" s="665"/>
      <c r="Z59" s="665"/>
      <c r="AA59" s="665"/>
      <c r="AB59" s="665"/>
      <c r="AD59" s="664">
        <v>927474.42</v>
      </c>
      <c r="AE59" s="664"/>
      <c r="AF59" s="664"/>
      <c r="AG59" s="664"/>
      <c r="AH59" s="664"/>
      <c r="AI59" s="664"/>
      <c r="AJ59" s="664"/>
      <c r="AK59" s="93">
        <v>1</v>
      </c>
    </row>
    <row r="60" spans="1:37" s="108" customFormat="1" ht="11.1" customHeight="1" x14ac:dyDescent="0.25">
      <c r="A60" s="669" t="s">
        <v>2653</v>
      </c>
      <c r="B60" s="669"/>
      <c r="C60" s="669"/>
      <c r="K60" s="669" t="s">
        <v>1573</v>
      </c>
      <c r="L60" s="669"/>
      <c r="M60" s="669"/>
      <c r="N60" s="669"/>
      <c r="O60" s="670">
        <v>116401.84</v>
      </c>
      <c r="P60" s="670"/>
      <c r="R60" s="671">
        <v>10920.49</v>
      </c>
      <c r="S60" s="671"/>
      <c r="T60" s="671"/>
      <c r="W60" s="671">
        <v>0</v>
      </c>
      <c r="X60" s="671"/>
      <c r="Y60" s="671"/>
      <c r="Z60" s="671"/>
      <c r="AA60" s="671"/>
      <c r="AB60" s="671"/>
      <c r="AD60" s="670">
        <v>127322.33</v>
      </c>
      <c r="AE60" s="670"/>
      <c r="AF60" s="670"/>
      <c r="AG60" s="670"/>
      <c r="AH60" s="670"/>
      <c r="AI60" s="670"/>
      <c r="AJ60" s="670"/>
      <c r="AK60" s="108">
        <v>5</v>
      </c>
    </row>
    <row r="61" spans="1:37" s="365" customFormat="1" ht="11.1" customHeight="1" x14ac:dyDescent="0.25">
      <c r="A61" s="660" t="s">
        <v>2654</v>
      </c>
      <c r="B61" s="660"/>
      <c r="C61" s="660"/>
      <c r="K61" s="660" t="s">
        <v>1575</v>
      </c>
      <c r="L61" s="660"/>
      <c r="M61" s="660"/>
      <c r="N61" s="660"/>
      <c r="O61" s="661">
        <v>24219.99</v>
      </c>
      <c r="P61" s="661"/>
      <c r="R61" s="662">
        <v>2600.88</v>
      </c>
      <c r="S61" s="662"/>
      <c r="T61" s="662"/>
      <c r="W61" s="662">
        <v>0</v>
      </c>
      <c r="X61" s="662"/>
      <c r="Y61" s="662"/>
      <c r="Z61" s="662"/>
      <c r="AA61" s="662"/>
      <c r="AB61" s="662"/>
      <c r="AD61" s="661">
        <v>26820.87</v>
      </c>
      <c r="AE61" s="661"/>
      <c r="AF61" s="661"/>
      <c r="AG61" s="661"/>
      <c r="AH61" s="661"/>
      <c r="AI61" s="661"/>
      <c r="AJ61" s="661"/>
      <c r="AK61" s="365">
        <v>9</v>
      </c>
    </row>
    <row r="62" spans="1:37" s="157" customFormat="1" ht="11.1" customHeight="1" x14ac:dyDescent="0.25">
      <c r="A62" s="657" t="s">
        <v>2655</v>
      </c>
      <c r="B62" s="657"/>
      <c r="C62" s="657"/>
      <c r="K62" s="657" t="s">
        <v>1577</v>
      </c>
      <c r="L62" s="657"/>
      <c r="M62" s="657"/>
      <c r="N62" s="657"/>
      <c r="O62" s="658">
        <v>7138.45</v>
      </c>
      <c r="P62" s="658"/>
      <c r="R62" s="659">
        <v>762.13</v>
      </c>
      <c r="S62" s="659"/>
      <c r="T62" s="659"/>
      <c r="W62" s="659">
        <v>0</v>
      </c>
      <c r="X62" s="659"/>
      <c r="Y62" s="659"/>
      <c r="Z62" s="659"/>
      <c r="AA62" s="659"/>
      <c r="AB62" s="659"/>
      <c r="AD62" s="658">
        <v>7900.58</v>
      </c>
      <c r="AE62" s="658"/>
      <c r="AF62" s="658"/>
      <c r="AG62" s="658"/>
      <c r="AH62" s="658"/>
      <c r="AI62" s="658"/>
      <c r="AJ62" s="658"/>
      <c r="AK62" s="157">
        <v>2</v>
      </c>
    </row>
    <row r="63" spans="1:37" s="108" customFormat="1" ht="11.1" customHeight="1" x14ac:dyDescent="0.25">
      <c r="A63" s="669" t="s">
        <v>2656</v>
      </c>
      <c r="B63" s="669"/>
      <c r="C63" s="669"/>
      <c r="K63" s="669" t="s">
        <v>1579</v>
      </c>
      <c r="L63" s="669"/>
      <c r="M63" s="669"/>
      <c r="N63" s="669"/>
      <c r="O63" s="670">
        <v>85457.24</v>
      </c>
      <c r="P63" s="670"/>
      <c r="R63" s="671">
        <v>9137.7000000000007</v>
      </c>
      <c r="S63" s="671"/>
      <c r="T63" s="671"/>
      <c r="W63" s="671">
        <v>334.95</v>
      </c>
      <c r="X63" s="671"/>
      <c r="Y63" s="671"/>
      <c r="Z63" s="671"/>
      <c r="AA63" s="671"/>
      <c r="AB63" s="671"/>
      <c r="AD63" s="670">
        <v>94259.99</v>
      </c>
      <c r="AE63" s="670"/>
      <c r="AF63" s="670"/>
      <c r="AG63" s="670"/>
      <c r="AH63" s="670"/>
      <c r="AI63" s="670"/>
      <c r="AJ63" s="670"/>
      <c r="AK63" s="108">
        <v>5</v>
      </c>
    </row>
    <row r="64" spans="1:37" s="365" customFormat="1" ht="11.1" customHeight="1" x14ac:dyDescent="0.25">
      <c r="A64" s="660" t="s">
        <v>2657</v>
      </c>
      <c r="B64" s="660"/>
      <c r="C64" s="660"/>
      <c r="K64" s="660" t="s">
        <v>1581</v>
      </c>
      <c r="L64" s="660"/>
      <c r="M64" s="660"/>
      <c r="N64" s="660"/>
      <c r="O64" s="661">
        <v>23329.81</v>
      </c>
      <c r="P64" s="661"/>
      <c r="R64" s="662">
        <v>2494.58</v>
      </c>
      <c r="S64" s="662"/>
      <c r="T64" s="662"/>
      <c r="W64" s="662">
        <v>0</v>
      </c>
      <c r="X64" s="662"/>
      <c r="Y64" s="662"/>
      <c r="Z64" s="662"/>
      <c r="AA64" s="662"/>
      <c r="AB64" s="662"/>
      <c r="AD64" s="661">
        <v>25824.39</v>
      </c>
      <c r="AE64" s="661"/>
      <c r="AF64" s="661"/>
      <c r="AG64" s="661"/>
      <c r="AH64" s="661"/>
      <c r="AI64" s="661"/>
      <c r="AJ64" s="661"/>
      <c r="AK64" s="365">
        <v>9</v>
      </c>
    </row>
    <row r="65" spans="1:37" s="157" customFormat="1" ht="11.1" customHeight="1" x14ac:dyDescent="0.25">
      <c r="A65" s="657" t="s">
        <v>2658</v>
      </c>
      <c r="B65" s="657"/>
      <c r="C65" s="657"/>
      <c r="K65" s="657" t="s">
        <v>1583</v>
      </c>
      <c r="L65" s="657"/>
      <c r="M65" s="657"/>
      <c r="N65" s="657"/>
      <c r="O65" s="658">
        <v>7198.91</v>
      </c>
      <c r="P65" s="658"/>
      <c r="R65" s="659">
        <v>730.96</v>
      </c>
      <c r="S65" s="659"/>
      <c r="T65" s="659"/>
      <c r="W65" s="659">
        <v>0.05</v>
      </c>
      <c r="X65" s="659"/>
      <c r="Y65" s="659"/>
      <c r="Z65" s="659"/>
      <c r="AA65" s="659"/>
      <c r="AB65" s="659"/>
      <c r="AD65" s="658">
        <v>7929.82</v>
      </c>
      <c r="AE65" s="658"/>
      <c r="AF65" s="658"/>
      <c r="AG65" s="658"/>
      <c r="AH65" s="658"/>
      <c r="AI65" s="658"/>
      <c r="AJ65" s="658"/>
      <c r="AK65" s="157">
        <v>2</v>
      </c>
    </row>
    <row r="66" spans="1:37" s="93" customFormat="1" ht="11.1" customHeight="1" x14ac:dyDescent="0.25">
      <c r="A66" s="663" t="s">
        <v>2659</v>
      </c>
      <c r="B66" s="663"/>
      <c r="C66" s="663"/>
      <c r="K66" s="663" t="s">
        <v>1585</v>
      </c>
      <c r="L66" s="663"/>
      <c r="M66" s="663"/>
      <c r="N66" s="663"/>
      <c r="O66" s="664">
        <v>120387.95</v>
      </c>
      <c r="P66" s="664"/>
      <c r="R66" s="665">
        <v>8806.61</v>
      </c>
      <c r="S66" s="665"/>
      <c r="T66" s="665"/>
      <c r="W66" s="665">
        <v>0</v>
      </c>
      <c r="X66" s="665"/>
      <c r="Y66" s="665"/>
      <c r="Z66" s="665"/>
      <c r="AA66" s="665"/>
      <c r="AB66" s="665"/>
      <c r="AD66" s="664">
        <v>129194.56</v>
      </c>
      <c r="AE66" s="664"/>
      <c r="AF66" s="664"/>
      <c r="AG66" s="664"/>
      <c r="AH66" s="664"/>
      <c r="AI66" s="664"/>
      <c r="AJ66" s="664"/>
      <c r="AK66" s="93">
        <v>1</v>
      </c>
    </row>
    <row r="67" spans="1:37" ht="11.1" customHeight="1" x14ac:dyDescent="0.25">
      <c r="A67" s="666" t="s">
        <v>2660</v>
      </c>
      <c r="B67" s="666"/>
      <c r="C67" s="666"/>
      <c r="K67" s="666" t="s">
        <v>1587</v>
      </c>
      <c r="L67" s="666"/>
      <c r="M67" s="666"/>
      <c r="N67" s="666"/>
      <c r="O67" s="667">
        <v>6035.9</v>
      </c>
      <c r="P67" s="667"/>
      <c r="R67" s="668">
        <v>190.33</v>
      </c>
      <c r="S67" s="668"/>
      <c r="T67" s="668"/>
      <c r="W67" s="668">
        <v>0</v>
      </c>
      <c r="X67" s="668"/>
      <c r="Y67" s="668"/>
      <c r="Z67" s="668"/>
      <c r="AA67" s="668"/>
      <c r="AB67" s="668"/>
      <c r="AD67" s="667">
        <v>6226.23</v>
      </c>
      <c r="AE67" s="667"/>
      <c r="AF67" s="667"/>
      <c r="AG67" s="667"/>
      <c r="AH67" s="667"/>
      <c r="AI67" s="667"/>
      <c r="AJ67" s="667"/>
      <c r="AK67">
        <v>11</v>
      </c>
    </row>
    <row r="68" spans="1:37" s="93" customFormat="1" ht="11.1" customHeight="1" x14ac:dyDescent="0.25">
      <c r="A68" s="663" t="s">
        <v>2661</v>
      </c>
      <c r="B68" s="663"/>
      <c r="C68" s="663"/>
      <c r="K68" s="663" t="s">
        <v>1589</v>
      </c>
      <c r="L68" s="663"/>
      <c r="M68" s="663"/>
      <c r="N68" s="663"/>
      <c r="O68" s="664">
        <v>344.54</v>
      </c>
      <c r="P68" s="664"/>
      <c r="R68" s="665">
        <v>0</v>
      </c>
      <c r="S68" s="665"/>
      <c r="T68" s="665"/>
      <c r="W68" s="665">
        <v>0</v>
      </c>
      <c r="X68" s="665"/>
      <c r="Y68" s="665"/>
      <c r="Z68" s="665"/>
      <c r="AA68" s="665"/>
      <c r="AB68" s="665"/>
      <c r="AD68" s="664">
        <v>344.54</v>
      </c>
      <c r="AE68" s="664"/>
      <c r="AF68" s="664"/>
      <c r="AG68" s="664"/>
      <c r="AH68" s="664"/>
      <c r="AI68" s="664"/>
      <c r="AJ68" s="664"/>
      <c r="AK68" s="93">
        <v>1</v>
      </c>
    </row>
    <row r="69" spans="1:37" s="383" customFormat="1" ht="11.1" customHeight="1" x14ac:dyDescent="0.25">
      <c r="A69" s="654" t="s">
        <v>2662</v>
      </c>
      <c r="B69" s="654"/>
      <c r="C69" s="654"/>
      <c r="K69" s="654" t="s">
        <v>1820</v>
      </c>
      <c r="L69" s="654"/>
      <c r="M69" s="654"/>
      <c r="N69" s="654"/>
      <c r="O69" s="655">
        <v>-100891.47</v>
      </c>
      <c r="P69" s="655"/>
      <c r="R69" s="656">
        <v>0</v>
      </c>
      <c r="S69" s="656"/>
      <c r="T69" s="656"/>
      <c r="W69" s="656">
        <v>520.72</v>
      </c>
      <c r="X69" s="656"/>
      <c r="Y69" s="656"/>
      <c r="Z69" s="656"/>
      <c r="AA69" s="656"/>
      <c r="AB69" s="656"/>
      <c r="AD69" s="655">
        <v>-101412.19</v>
      </c>
      <c r="AE69" s="655"/>
      <c r="AF69" s="655"/>
      <c r="AG69" s="655"/>
      <c r="AH69" s="655"/>
      <c r="AI69" s="655"/>
      <c r="AJ69" s="655"/>
      <c r="AK69" s="383">
        <v>8</v>
      </c>
    </row>
    <row r="70" spans="1:37" s="365" customFormat="1" ht="11.1" customHeight="1" x14ac:dyDescent="0.25">
      <c r="A70" s="660" t="s">
        <v>2663</v>
      </c>
      <c r="B70" s="660"/>
      <c r="C70" s="660"/>
      <c r="K70" s="660" t="s">
        <v>1090</v>
      </c>
      <c r="L70" s="660"/>
      <c r="M70" s="660"/>
      <c r="N70" s="660"/>
      <c r="O70" s="661">
        <v>89347.43</v>
      </c>
      <c r="P70" s="661"/>
      <c r="R70" s="662">
        <v>7378.27</v>
      </c>
      <c r="S70" s="662"/>
      <c r="T70" s="662"/>
      <c r="W70" s="662">
        <v>0</v>
      </c>
      <c r="X70" s="662"/>
      <c r="Y70" s="662"/>
      <c r="Z70" s="662"/>
      <c r="AA70" s="662"/>
      <c r="AB70" s="662"/>
      <c r="AD70" s="661">
        <v>96725.7</v>
      </c>
      <c r="AE70" s="661"/>
      <c r="AF70" s="661"/>
      <c r="AG70" s="661"/>
      <c r="AH70" s="661"/>
      <c r="AI70" s="661"/>
      <c r="AJ70" s="661"/>
      <c r="AK70" s="365">
        <v>9</v>
      </c>
    </row>
    <row r="71" spans="1:37" s="157" customFormat="1" ht="11.1" customHeight="1" x14ac:dyDescent="0.25">
      <c r="A71" s="657" t="s">
        <v>2664</v>
      </c>
      <c r="B71" s="657"/>
      <c r="C71" s="657"/>
      <c r="K71" s="657" t="s">
        <v>1092</v>
      </c>
      <c r="L71" s="657"/>
      <c r="M71" s="657"/>
      <c r="N71" s="657"/>
      <c r="O71" s="658">
        <v>26513.51</v>
      </c>
      <c r="P71" s="658"/>
      <c r="R71" s="659">
        <v>2162.11</v>
      </c>
      <c r="S71" s="659"/>
      <c r="T71" s="659"/>
      <c r="W71" s="659">
        <v>0</v>
      </c>
      <c r="X71" s="659"/>
      <c r="Y71" s="659"/>
      <c r="Z71" s="659"/>
      <c r="AA71" s="659"/>
      <c r="AB71" s="659"/>
      <c r="AD71" s="658">
        <v>28675.62</v>
      </c>
      <c r="AE71" s="658"/>
      <c r="AF71" s="658"/>
      <c r="AG71" s="658"/>
      <c r="AH71" s="658"/>
      <c r="AI71" s="658"/>
      <c r="AJ71" s="658"/>
      <c r="AK71" s="157">
        <v>2</v>
      </c>
    </row>
    <row r="72" spans="1:37" s="365" customFormat="1" ht="11.1" customHeight="1" x14ac:dyDescent="0.25">
      <c r="A72" s="660" t="s">
        <v>2665</v>
      </c>
      <c r="B72" s="660"/>
      <c r="C72" s="660"/>
      <c r="K72" s="660" t="s">
        <v>1090</v>
      </c>
      <c r="L72" s="660"/>
      <c r="M72" s="660"/>
      <c r="N72" s="660"/>
      <c r="O72" s="661">
        <v>263714.24</v>
      </c>
      <c r="P72" s="661"/>
      <c r="R72" s="662">
        <v>21158.03</v>
      </c>
      <c r="S72" s="662"/>
      <c r="T72" s="662"/>
      <c r="W72" s="662">
        <v>0</v>
      </c>
      <c r="X72" s="662"/>
      <c r="Y72" s="662"/>
      <c r="Z72" s="662"/>
      <c r="AA72" s="662"/>
      <c r="AB72" s="662"/>
      <c r="AD72" s="661">
        <v>284872.27</v>
      </c>
      <c r="AE72" s="661"/>
      <c r="AF72" s="661"/>
      <c r="AG72" s="661"/>
      <c r="AH72" s="661"/>
      <c r="AI72" s="661"/>
      <c r="AJ72" s="661"/>
      <c r="AK72" s="365">
        <v>9</v>
      </c>
    </row>
    <row r="73" spans="1:37" s="157" customFormat="1" ht="11.1" customHeight="1" x14ac:dyDescent="0.25">
      <c r="A73" s="657" t="s">
        <v>2666</v>
      </c>
      <c r="B73" s="657"/>
      <c r="C73" s="657"/>
      <c r="K73" s="657" t="s">
        <v>1092</v>
      </c>
      <c r="L73" s="657"/>
      <c r="M73" s="657"/>
      <c r="N73" s="657"/>
      <c r="O73" s="658">
        <v>121744.22</v>
      </c>
      <c r="P73" s="658"/>
      <c r="R73" s="659">
        <v>6200.1</v>
      </c>
      <c r="S73" s="659"/>
      <c r="T73" s="659"/>
      <c r="W73" s="659">
        <v>0</v>
      </c>
      <c r="X73" s="659"/>
      <c r="Y73" s="659"/>
      <c r="Z73" s="659"/>
      <c r="AA73" s="659"/>
      <c r="AB73" s="659"/>
      <c r="AD73" s="658">
        <v>127944.32000000001</v>
      </c>
      <c r="AE73" s="658"/>
      <c r="AF73" s="658"/>
      <c r="AG73" s="658"/>
      <c r="AH73" s="658"/>
      <c r="AI73" s="658"/>
      <c r="AJ73" s="658"/>
      <c r="AK73" s="157">
        <v>2</v>
      </c>
    </row>
    <row r="74" spans="1:37" s="383" customFormat="1" ht="11.1" customHeight="1" x14ac:dyDescent="0.25">
      <c r="A74" s="654" t="s">
        <v>2667</v>
      </c>
      <c r="B74" s="654"/>
      <c r="C74" s="654"/>
      <c r="K74" s="654" t="s">
        <v>1820</v>
      </c>
      <c r="L74" s="654"/>
      <c r="M74" s="654"/>
      <c r="N74" s="654"/>
      <c r="O74" s="655">
        <v>-65119.61</v>
      </c>
      <c r="P74" s="655"/>
      <c r="R74" s="656">
        <v>0</v>
      </c>
      <c r="S74" s="656"/>
      <c r="T74" s="656"/>
      <c r="W74" s="656">
        <v>285.14</v>
      </c>
      <c r="X74" s="656"/>
      <c r="Y74" s="656"/>
      <c r="Z74" s="656"/>
      <c r="AA74" s="656"/>
      <c r="AB74" s="656"/>
      <c r="AD74" s="655">
        <v>-65404.75</v>
      </c>
      <c r="AE74" s="655"/>
      <c r="AF74" s="655"/>
      <c r="AG74" s="655"/>
      <c r="AH74" s="655"/>
      <c r="AI74" s="655"/>
      <c r="AJ74" s="655"/>
      <c r="AK74" s="383">
        <v>8</v>
      </c>
    </row>
    <row r="75" spans="1:37" s="380" customFormat="1" ht="11.1" customHeight="1" x14ac:dyDescent="0.25">
      <c r="A75" s="651" t="s">
        <v>2668</v>
      </c>
      <c r="B75" s="651"/>
      <c r="C75" s="651"/>
      <c r="K75" s="651" t="s">
        <v>1624</v>
      </c>
      <c r="L75" s="651"/>
      <c r="M75" s="651"/>
      <c r="N75" s="651"/>
      <c r="O75" s="652">
        <v>29128.59</v>
      </c>
      <c r="P75" s="652"/>
      <c r="R75" s="653">
        <v>2698.45</v>
      </c>
      <c r="S75" s="653"/>
      <c r="T75" s="653"/>
      <c r="W75" s="653">
        <v>0</v>
      </c>
      <c r="X75" s="653"/>
      <c r="Y75" s="653"/>
      <c r="Z75" s="653"/>
      <c r="AA75" s="653"/>
      <c r="AB75" s="653"/>
      <c r="AD75" s="652">
        <v>31827.040000000001</v>
      </c>
      <c r="AE75" s="652"/>
      <c r="AF75" s="652"/>
      <c r="AG75" s="652"/>
      <c r="AH75" s="652"/>
      <c r="AI75" s="652"/>
      <c r="AJ75" s="652"/>
      <c r="AK75" s="380">
        <v>3</v>
      </c>
    </row>
    <row r="76" spans="1:37" s="380" customFormat="1" ht="11.1" customHeight="1" x14ac:dyDescent="0.25">
      <c r="A76" s="651" t="s">
        <v>2669</v>
      </c>
      <c r="B76" s="651"/>
      <c r="C76" s="651"/>
      <c r="K76" s="651" t="s">
        <v>1624</v>
      </c>
      <c r="L76" s="651"/>
      <c r="M76" s="651"/>
      <c r="N76" s="651"/>
      <c r="O76" s="652">
        <v>116752.58</v>
      </c>
      <c r="P76" s="652"/>
      <c r="R76" s="653">
        <v>11132.76</v>
      </c>
      <c r="S76" s="653"/>
      <c r="T76" s="653"/>
      <c r="W76" s="653">
        <v>0</v>
      </c>
      <c r="X76" s="653"/>
      <c r="Y76" s="653"/>
      <c r="Z76" s="653"/>
      <c r="AA76" s="653"/>
      <c r="AB76" s="653"/>
      <c r="AD76" s="652">
        <v>127885.34</v>
      </c>
      <c r="AE76" s="652"/>
      <c r="AF76" s="652"/>
      <c r="AG76" s="652"/>
      <c r="AH76" s="652"/>
      <c r="AI76" s="652"/>
      <c r="AJ76" s="652"/>
      <c r="AK76" s="380">
        <v>3</v>
      </c>
    </row>
    <row r="77" spans="1:37" s="384" customFormat="1" ht="11.1" customHeight="1" x14ac:dyDescent="0.25">
      <c r="A77" s="648" t="s">
        <v>3069</v>
      </c>
      <c r="B77" s="648"/>
      <c r="C77" s="648"/>
      <c r="K77" s="648" t="s">
        <v>2968</v>
      </c>
      <c r="L77" s="648"/>
      <c r="M77" s="648"/>
      <c r="N77" s="648"/>
      <c r="O77" s="649">
        <v>122718.6</v>
      </c>
      <c r="P77" s="649"/>
      <c r="R77" s="650">
        <v>0</v>
      </c>
      <c r="S77" s="650"/>
      <c r="T77" s="650"/>
      <c r="W77" s="650">
        <v>0</v>
      </c>
      <c r="X77" s="650"/>
      <c r="Y77" s="650"/>
      <c r="Z77" s="650"/>
      <c r="AA77" s="650"/>
      <c r="AB77" s="650"/>
      <c r="AD77" s="649">
        <v>122718.6</v>
      </c>
      <c r="AE77" s="649"/>
      <c r="AF77" s="649"/>
      <c r="AG77" s="649"/>
      <c r="AH77" s="649"/>
      <c r="AI77" s="649"/>
      <c r="AJ77" s="649"/>
      <c r="AK77" s="384">
        <v>10</v>
      </c>
    </row>
    <row r="78" spans="1:37" s="382" customFormat="1" ht="11.1" customHeight="1" x14ac:dyDescent="0.25">
      <c r="A78" s="645" t="s">
        <v>2670</v>
      </c>
      <c r="B78" s="645"/>
      <c r="C78" s="645"/>
      <c r="K78" s="645" t="s">
        <v>1633</v>
      </c>
      <c r="L78" s="645"/>
      <c r="M78" s="645"/>
      <c r="N78" s="645"/>
      <c r="O78" s="646">
        <v>36247.54</v>
      </c>
      <c r="P78" s="646"/>
      <c r="R78" s="647">
        <v>0</v>
      </c>
      <c r="S78" s="647"/>
      <c r="T78" s="647"/>
      <c r="W78" s="647">
        <v>0</v>
      </c>
      <c r="X78" s="647"/>
      <c r="Y78" s="647"/>
      <c r="Z78" s="647"/>
      <c r="AA78" s="647"/>
      <c r="AB78" s="647"/>
      <c r="AD78" s="646">
        <v>36247.54</v>
      </c>
      <c r="AE78" s="646"/>
      <c r="AF78" s="646"/>
      <c r="AG78" s="646"/>
      <c r="AH78" s="646"/>
      <c r="AI78" s="646"/>
      <c r="AJ78" s="646"/>
      <c r="AK78" s="382">
        <v>7</v>
      </c>
    </row>
    <row r="79" spans="1:37" s="382" customFormat="1" ht="11.1" customHeight="1" x14ac:dyDescent="0.25">
      <c r="A79" s="645" t="s">
        <v>2671</v>
      </c>
      <c r="B79" s="645"/>
      <c r="C79" s="645"/>
      <c r="K79" s="645" t="s">
        <v>1630</v>
      </c>
      <c r="L79" s="645"/>
      <c r="M79" s="645"/>
      <c r="N79" s="645"/>
      <c r="O79" s="646">
        <v>112541.26</v>
      </c>
      <c r="P79" s="646"/>
      <c r="R79" s="647">
        <v>0</v>
      </c>
      <c r="S79" s="647"/>
      <c r="T79" s="647"/>
      <c r="W79" s="647">
        <v>0</v>
      </c>
      <c r="X79" s="647"/>
      <c r="Y79" s="647"/>
      <c r="Z79" s="647"/>
      <c r="AA79" s="647"/>
      <c r="AB79" s="647"/>
      <c r="AD79" s="646">
        <v>112541.26</v>
      </c>
      <c r="AE79" s="646"/>
      <c r="AF79" s="646"/>
      <c r="AG79" s="646"/>
      <c r="AH79" s="646"/>
      <c r="AI79" s="646"/>
      <c r="AJ79" s="646"/>
      <c r="AK79" s="382">
        <v>7</v>
      </c>
    </row>
    <row r="80" spans="1:37" s="164" customFormat="1" ht="11.1" customHeight="1" x14ac:dyDescent="0.25">
      <c r="A80" s="675" t="s">
        <v>2672</v>
      </c>
      <c r="B80" s="675"/>
      <c r="C80" s="675"/>
      <c r="K80" s="675" t="s">
        <v>503</v>
      </c>
      <c r="L80" s="675"/>
      <c r="M80" s="675"/>
      <c r="N80" s="675"/>
      <c r="O80" s="676">
        <v>33138.54</v>
      </c>
      <c r="P80" s="676"/>
      <c r="R80" s="677">
        <v>2680.05</v>
      </c>
      <c r="S80" s="677"/>
      <c r="T80" s="677"/>
      <c r="W80" s="677">
        <v>0</v>
      </c>
      <c r="X80" s="677"/>
      <c r="Y80" s="677"/>
      <c r="Z80" s="677"/>
      <c r="AA80" s="677"/>
      <c r="AB80" s="677"/>
      <c r="AD80" s="676">
        <v>35818.589999999997</v>
      </c>
      <c r="AE80" s="676"/>
      <c r="AF80" s="676"/>
      <c r="AG80" s="676"/>
      <c r="AH80" s="676"/>
      <c r="AI80" s="676"/>
      <c r="AJ80" s="676"/>
      <c r="AK80" s="164">
        <v>4</v>
      </c>
    </row>
    <row r="81" spans="1:37" s="164" customFormat="1" ht="11.1" customHeight="1" x14ac:dyDescent="0.25">
      <c r="A81" s="675" t="s">
        <v>2673</v>
      </c>
      <c r="B81" s="675"/>
      <c r="C81" s="675"/>
      <c r="K81" s="675" t="s">
        <v>501</v>
      </c>
      <c r="L81" s="675"/>
      <c r="M81" s="675"/>
      <c r="N81" s="675"/>
      <c r="O81" s="676">
        <v>19969.259999999998</v>
      </c>
      <c r="P81" s="676"/>
      <c r="R81" s="677">
        <v>5537.6</v>
      </c>
      <c r="S81" s="677"/>
      <c r="T81" s="677"/>
      <c r="W81" s="677">
        <v>0</v>
      </c>
      <c r="X81" s="677"/>
      <c r="Y81" s="677"/>
      <c r="Z81" s="677"/>
      <c r="AA81" s="677"/>
      <c r="AB81" s="677"/>
      <c r="AD81" s="676">
        <v>25506.86</v>
      </c>
      <c r="AE81" s="676"/>
      <c r="AF81" s="676"/>
      <c r="AG81" s="676"/>
      <c r="AH81" s="676"/>
      <c r="AI81" s="676"/>
      <c r="AJ81" s="676"/>
      <c r="AK81" s="164">
        <v>4</v>
      </c>
    </row>
    <row r="82" spans="1:37" s="381" customFormat="1" ht="11.1" customHeight="1" x14ac:dyDescent="0.25">
      <c r="A82" s="672" t="s">
        <v>2674</v>
      </c>
      <c r="B82" s="672"/>
      <c r="C82" s="672"/>
      <c r="K82" s="672" t="s">
        <v>505</v>
      </c>
      <c r="L82" s="672"/>
      <c r="M82" s="672"/>
      <c r="N82" s="672"/>
      <c r="O82" s="673">
        <v>2096.59</v>
      </c>
      <c r="P82" s="673"/>
      <c r="R82" s="674">
        <v>15.96</v>
      </c>
      <c r="S82" s="674"/>
      <c r="T82" s="674"/>
      <c r="W82" s="674">
        <v>0</v>
      </c>
      <c r="X82" s="674"/>
      <c r="Y82" s="674"/>
      <c r="Z82" s="674"/>
      <c r="AA82" s="674"/>
      <c r="AB82" s="674"/>
      <c r="AD82" s="673">
        <v>2112.5500000000002</v>
      </c>
      <c r="AE82" s="673"/>
      <c r="AF82" s="673"/>
      <c r="AG82" s="673"/>
      <c r="AH82" s="673"/>
      <c r="AI82" s="673"/>
      <c r="AJ82" s="673"/>
      <c r="AK82" s="381">
        <v>6</v>
      </c>
    </row>
    <row r="83" spans="1:37" s="381" customFormat="1" ht="11.1" customHeight="1" x14ac:dyDescent="0.25">
      <c r="A83" s="672" t="s">
        <v>2675</v>
      </c>
      <c r="B83" s="672"/>
      <c r="C83" s="672"/>
      <c r="K83" s="672" t="s">
        <v>1647</v>
      </c>
      <c r="L83" s="672"/>
      <c r="M83" s="672"/>
      <c r="N83" s="672"/>
      <c r="O83" s="673">
        <v>960.04</v>
      </c>
      <c r="P83" s="673"/>
      <c r="R83" s="674">
        <v>83.84</v>
      </c>
      <c r="S83" s="674"/>
      <c r="T83" s="674"/>
      <c r="W83" s="674">
        <v>0</v>
      </c>
      <c r="X83" s="674"/>
      <c r="Y83" s="674"/>
      <c r="Z83" s="674"/>
      <c r="AA83" s="674"/>
      <c r="AB83" s="674"/>
      <c r="AD83" s="673">
        <v>1043.8800000000001</v>
      </c>
      <c r="AE83" s="673"/>
      <c r="AF83" s="673"/>
      <c r="AG83" s="673"/>
      <c r="AH83" s="673"/>
      <c r="AI83" s="673"/>
      <c r="AJ83" s="673"/>
      <c r="AK83" s="381">
        <v>6</v>
      </c>
    </row>
    <row r="84" spans="1:37" s="164" customFormat="1" ht="11.1" customHeight="1" x14ac:dyDescent="0.25">
      <c r="A84" s="675" t="s">
        <v>2676</v>
      </c>
      <c r="B84" s="675"/>
      <c r="C84" s="675"/>
      <c r="K84" s="675" t="s">
        <v>503</v>
      </c>
      <c r="L84" s="675"/>
      <c r="M84" s="675"/>
      <c r="N84" s="675"/>
      <c r="O84" s="676">
        <v>93029.440000000002</v>
      </c>
      <c r="P84" s="676"/>
      <c r="R84" s="677">
        <v>8040.15</v>
      </c>
      <c r="S84" s="677"/>
      <c r="T84" s="677"/>
      <c r="W84" s="677">
        <v>0</v>
      </c>
      <c r="X84" s="677"/>
      <c r="Y84" s="677"/>
      <c r="Z84" s="677"/>
      <c r="AA84" s="677"/>
      <c r="AB84" s="677"/>
      <c r="AD84" s="676">
        <v>101069.59</v>
      </c>
      <c r="AE84" s="676"/>
      <c r="AF84" s="676"/>
      <c r="AG84" s="676"/>
      <c r="AH84" s="676"/>
      <c r="AI84" s="676"/>
      <c r="AJ84" s="676"/>
      <c r="AK84" s="164">
        <v>4</v>
      </c>
    </row>
    <row r="85" spans="1:37" s="164" customFormat="1" ht="11.1" customHeight="1" x14ac:dyDescent="0.25">
      <c r="A85" s="675" t="s">
        <v>2677</v>
      </c>
      <c r="B85" s="675"/>
      <c r="C85" s="675"/>
      <c r="K85" s="675" t="s">
        <v>501</v>
      </c>
      <c r="L85" s="675"/>
      <c r="M85" s="675"/>
      <c r="N85" s="675"/>
      <c r="O85" s="676">
        <v>53057.16</v>
      </c>
      <c r="P85" s="676"/>
      <c r="R85" s="677">
        <v>16403.7</v>
      </c>
      <c r="S85" s="677"/>
      <c r="T85" s="677"/>
      <c r="W85" s="677">
        <v>0</v>
      </c>
      <c r="X85" s="677"/>
      <c r="Y85" s="677"/>
      <c r="Z85" s="677"/>
      <c r="AA85" s="677"/>
      <c r="AB85" s="677"/>
      <c r="AD85" s="676">
        <v>69460.86</v>
      </c>
      <c r="AE85" s="676"/>
      <c r="AF85" s="676"/>
      <c r="AG85" s="676"/>
      <c r="AH85" s="676"/>
      <c r="AI85" s="676"/>
      <c r="AJ85" s="676"/>
      <c r="AK85" s="164">
        <v>4</v>
      </c>
    </row>
    <row r="86" spans="1:37" s="381" customFormat="1" ht="11.1" customHeight="1" x14ac:dyDescent="0.25">
      <c r="A86" s="672" t="s">
        <v>2678</v>
      </c>
      <c r="B86" s="672"/>
      <c r="C86" s="672"/>
      <c r="K86" s="672" t="s">
        <v>505</v>
      </c>
      <c r="L86" s="672"/>
      <c r="M86" s="672"/>
      <c r="N86" s="672"/>
      <c r="O86" s="673">
        <v>745.97</v>
      </c>
      <c r="P86" s="673"/>
      <c r="R86" s="674">
        <v>42.31</v>
      </c>
      <c r="S86" s="674"/>
      <c r="T86" s="674"/>
      <c r="W86" s="674">
        <v>52.22</v>
      </c>
      <c r="X86" s="674"/>
      <c r="Y86" s="674"/>
      <c r="Z86" s="674"/>
      <c r="AA86" s="674"/>
      <c r="AB86" s="674"/>
      <c r="AD86" s="673">
        <v>736.06</v>
      </c>
      <c r="AE86" s="673"/>
      <c r="AF86" s="673"/>
      <c r="AG86" s="673"/>
      <c r="AH86" s="673"/>
      <c r="AI86" s="673"/>
      <c r="AJ86" s="673"/>
      <c r="AK86" s="381">
        <v>6</v>
      </c>
    </row>
    <row r="87" spans="1:37" s="381" customFormat="1" ht="11.1" customHeight="1" x14ac:dyDescent="0.25">
      <c r="A87" s="672" t="s">
        <v>2679</v>
      </c>
      <c r="B87" s="672"/>
      <c r="C87" s="672"/>
      <c r="K87" s="672" t="s">
        <v>1838</v>
      </c>
      <c r="L87" s="672"/>
      <c r="M87" s="672"/>
      <c r="N87" s="672"/>
      <c r="O87" s="673">
        <v>95510.16</v>
      </c>
      <c r="P87" s="673"/>
      <c r="R87" s="674">
        <v>13666.43</v>
      </c>
      <c r="S87" s="674"/>
      <c r="T87" s="674"/>
      <c r="W87" s="674">
        <v>0</v>
      </c>
      <c r="X87" s="674"/>
      <c r="Y87" s="674"/>
      <c r="Z87" s="674"/>
      <c r="AA87" s="674"/>
      <c r="AB87" s="674"/>
      <c r="AD87" s="673">
        <v>109176.59</v>
      </c>
      <c r="AE87" s="673"/>
      <c r="AF87" s="673"/>
      <c r="AG87" s="673"/>
      <c r="AH87" s="673"/>
      <c r="AI87" s="673"/>
      <c r="AJ87" s="673"/>
      <c r="AK87" s="381">
        <v>6</v>
      </c>
    </row>
    <row r="88" spans="1:37" s="381" customFormat="1" ht="11.1" customHeight="1" x14ac:dyDescent="0.25">
      <c r="A88" s="672" t="s">
        <v>2680</v>
      </c>
      <c r="B88" s="672"/>
      <c r="C88" s="672"/>
      <c r="K88" s="672" t="s">
        <v>1656</v>
      </c>
      <c r="L88" s="672"/>
      <c r="M88" s="672"/>
      <c r="N88" s="672"/>
      <c r="O88" s="673">
        <v>2702.12</v>
      </c>
      <c r="P88" s="673"/>
      <c r="R88" s="674">
        <v>255.53</v>
      </c>
      <c r="S88" s="674"/>
      <c r="T88" s="674"/>
      <c r="W88" s="674">
        <v>0</v>
      </c>
      <c r="X88" s="674"/>
      <c r="Y88" s="674"/>
      <c r="Z88" s="674"/>
      <c r="AA88" s="674"/>
      <c r="AB88" s="674"/>
      <c r="AD88" s="673">
        <v>2957.65</v>
      </c>
      <c r="AE88" s="673"/>
      <c r="AF88" s="673"/>
      <c r="AG88" s="673"/>
      <c r="AH88" s="673"/>
      <c r="AI88" s="673"/>
      <c r="AJ88" s="673"/>
      <c r="AK88" s="381">
        <v>6</v>
      </c>
    </row>
    <row r="89" spans="1:37" ht="11.1" customHeight="1" x14ac:dyDescent="0.25">
      <c r="A89" s="666" t="s">
        <v>2681</v>
      </c>
      <c r="B89" s="666"/>
      <c r="C89" s="666"/>
      <c r="K89" s="666" t="s">
        <v>2508</v>
      </c>
      <c r="L89" s="666"/>
      <c r="M89" s="666"/>
      <c r="N89" s="666"/>
      <c r="O89" s="667">
        <v>0</v>
      </c>
      <c r="P89" s="667"/>
      <c r="R89" s="668">
        <v>2505.5500000000002</v>
      </c>
      <c r="S89" s="668"/>
      <c r="T89" s="668"/>
      <c r="W89" s="668">
        <v>0</v>
      </c>
      <c r="X89" s="668"/>
      <c r="Y89" s="668"/>
      <c r="Z89" s="668"/>
      <c r="AA89" s="668"/>
      <c r="AB89" s="668"/>
      <c r="AD89" s="667">
        <v>2505.5500000000002</v>
      </c>
      <c r="AE89" s="667"/>
      <c r="AF89" s="667"/>
      <c r="AG89" s="667"/>
      <c r="AH89" s="667"/>
      <c r="AI89" s="667"/>
      <c r="AJ89" s="667"/>
      <c r="AK89">
        <v>11</v>
      </c>
    </row>
    <row r="90" spans="1:37" s="93" customFormat="1" ht="11.1" customHeight="1" x14ac:dyDescent="0.25">
      <c r="A90" s="663" t="s">
        <v>2682</v>
      </c>
      <c r="B90" s="663"/>
      <c r="C90" s="663"/>
      <c r="K90" s="663" t="s">
        <v>1843</v>
      </c>
      <c r="L90" s="663"/>
      <c r="M90" s="663"/>
      <c r="N90" s="663"/>
      <c r="O90" s="664">
        <v>6026.17</v>
      </c>
      <c r="P90" s="664"/>
      <c r="R90" s="665">
        <v>923.08</v>
      </c>
      <c r="S90" s="665"/>
      <c r="T90" s="665"/>
      <c r="W90" s="665">
        <v>0</v>
      </c>
      <c r="X90" s="665"/>
      <c r="Y90" s="665"/>
      <c r="Z90" s="665"/>
      <c r="AA90" s="665"/>
      <c r="AB90" s="665"/>
      <c r="AD90" s="664">
        <v>6949.25</v>
      </c>
      <c r="AE90" s="664"/>
      <c r="AF90" s="664"/>
      <c r="AG90" s="664"/>
      <c r="AH90" s="664"/>
      <c r="AI90" s="664"/>
      <c r="AJ90" s="664"/>
      <c r="AK90" s="93">
        <v>1</v>
      </c>
    </row>
    <row r="91" spans="1:37" s="108" customFormat="1" ht="11.1" customHeight="1" x14ac:dyDescent="0.25">
      <c r="A91" s="669" t="s">
        <v>2683</v>
      </c>
      <c r="B91" s="669"/>
      <c r="C91" s="669"/>
      <c r="K91" s="669" t="s">
        <v>1845</v>
      </c>
      <c r="L91" s="669"/>
      <c r="M91" s="669"/>
      <c r="N91" s="669"/>
      <c r="O91" s="670">
        <v>2627.29</v>
      </c>
      <c r="P91" s="670"/>
      <c r="R91" s="671">
        <v>144.49</v>
      </c>
      <c r="S91" s="671"/>
      <c r="T91" s="671"/>
      <c r="W91" s="671">
        <v>74.44</v>
      </c>
      <c r="X91" s="671"/>
      <c r="Y91" s="671"/>
      <c r="Z91" s="671"/>
      <c r="AA91" s="671"/>
      <c r="AB91" s="671"/>
      <c r="AD91" s="670">
        <v>2697.34</v>
      </c>
      <c r="AE91" s="670"/>
      <c r="AF91" s="670"/>
      <c r="AG91" s="670"/>
      <c r="AH91" s="670"/>
      <c r="AI91" s="670"/>
      <c r="AJ91" s="670"/>
      <c r="AK91" s="108">
        <v>5</v>
      </c>
    </row>
    <row r="92" spans="1:37" s="157" customFormat="1" ht="11.1" customHeight="1" x14ac:dyDescent="0.25">
      <c r="A92" s="657" t="s">
        <v>2684</v>
      </c>
      <c r="B92" s="657"/>
      <c r="C92" s="657"/>
      <c r="K92" s="657" t="s">
        <v>1847</v>
      </c>
      <c r="L92" s="657"/>
      <c r="M92" s="657"/>
      <c r="N92" s="657"/>
      <c r="O92" s="658">
        <v>1746.1</v>
      </c>
      <c r="P92" s="658"/>
      <c r="R92" s="659">
        <v>270.47000000000003</v>
      </c>
      <c r="S92" s="659"/>
      <c r="T92" s="659"/>
      <c r="W92" s="659">
        <v>0</v>
      </c>
      <c r="X92" s="659"/>
      <c r="Y92" s="659"/>
      <c r="Z92" s="659"/>
      <c r="AA92" s="659"/>
      <c r="AB92" s="659"/>
      <c r="AD92" s="658">
        <v>2016.57</v>
      </c>
      <c r="AE92" s="658"/>
      <c r="AF92" s="658"/>
      <c r="AG92" s="658"/>
      <c r="AH92" s="658"/>
      <c r="AI92" s="658"/>
      <c r="AJ92" s="658"/>
      <c r="AK92" s="157">
        <v>2</v>
      </c>
    </row>
    <row r="93" spans="1:37" s="381" customFormat="1" ht="11.1" customHeight="1" x14ac:dyDescent="0.25">
      <c r="A93" s="672" t="s">
        <v>2685</v>
      </c>
      <c r="B93" s="672"/>
      <c r="C93" s="672"/>
      <c r="K93" s="672" t="s">
        <v>1849</v>
      </c>
      <c r="L93" s="672"/>
      <c r="M93" s="672"/>
      <c r="N93" s="672"/>
      <c r="O93" s="673">
        <v>991.75</v>
      </c>
      <c r="P93" s="673"/>
      <c r="R93" s="674">
        <v>143.32</v>
      </c>
      <c r="S93" s="674"/>
      <c r="T93" s="674"/>
      <c r="W93" s="674">
        <v>0</v>
      </c>
      <c r="X93" s="674"/>
      <c r="Y93" s="674"/>
      <c r="Z93" s="674"/>
      <c r="AA93" s="674"/>
      <c r="AB93" s="674"/>
      <c r="AD93" s="673">
        <v>1135.07</v>
      </c>
      <c r="AE93" s="673"/>
      <c r="AF93" s="673"/>
      <c r="AG93" s="673"/>
      <c r="AH93" s="673"/>
      <c r="AI93" s="673"/>
      <c r="AJ93" s="673"/>
      <c r="AK93" s="381">
        <v>6</v>
      </c>
    </row>
    <row r="94" spans="1:37" ht="12.75" customHeight="1" x14ac:dyDescent="0.25">
      <c r="N94" s="667">
        <f>SUM(O6:P93)</f>
        <v>5601456.6999999993</v>
      </c>
      <c r="O94" s="667"/>
      <c r="P94" s="667"/>
      <c r="R94" s="684">
        <f>SUM(R6:T93)</f>
        <v>512583.53</v>
      </c>
      <c r="S94" s="684"/>
      <c r="T94" s="684"/>
      <c r="V94" s="684"/>
      <c r="W94" s="684"/>
      <c r="X94" s="684"/>
      <c r="Y94" s="684"/>
      <c r="Z94" s="684"/>
      <c r="AA94" s="684"/>
      <c r="AB94" s="684"/>
      <c r="AD94" s="685">
        <f>SUM(AD6:AJ93)</f>
        <v>6104776.6099999994</v>
      </c>
      <c r="AE94" s="685"/>
      <c r="AF94" s="685"/>
      <c r="AG94" s="685"/>
      <c r="AH94" s="685"/>
      <c r="AI94" s="685"/>
      <c r="AJ94" s="685"/>
      <c r="AK94" s="318">
        <f>SUM(AD6:AJ93)</f>
        <v>6104776.6099999994</v>
      </c>
    </row>
    <row r="95" spans="1:37" ht="11.85" customHeight="1" x14ac:dyDescent="0.25">
      <c r="A95" s="686"/>
      <c r="B95" s="686"/>
      <c r="C95" s="686"/>
      <c r="D95" s="686"/>
      <c r="E95" s="686"/>
      <c r="F95" s="686"/>
      <c r="G95" s="686"/>
      <c r="H95" s="686"/>
      <c r="I95" s="686"/>
      <c r="J95" s="686"/>
      <c r="K95" s="686"/>
      <c r="L95" s="686"/>
      <c r="M95" s="686"/>
      <c r="N95" s="686"/>
      <c r="O95" s="686"/>
      <c r="P95" s="686"/>
      <c r="Q95" s="686"/>
      <c r="R95" s="686"/>
      <c r="S95" s="686"/>
      <c r="T95" s="686"/>
      <c r="U95" s="686"/>
      <c r="V95" s="686"/>
      <c r="W95" s="686"/>
      <c r="X95" s="686"/>
      <c r="Y95" s="686"/>
      <c r="Z95" s="686"/>
      <c r="AA95" s="686"/>
      <c r="AB95" s="686"/>
      <c r="AC95" s="686"/>
      <c r="AD95" s="686"/>
      <c r="AE95" s="686"/>
      <c r="AF95" s="686"/>
      <c r="AG95" s="686"/>
    </row>
    <row r="96" spans="1:37" x14ac:dyDescent="0.25">
      <c r="A96" s="687" t="s">
        <v>3070</v>
      </c>
      <c r="B96" s="687"/>
      <c r="C96" s="687"/>
      <c r="H96" s="687" t="s">
        <v>1657</v>
      </c>
      <c r="I96" s="687"/>
      <c r="J96" s="687"/>
      <c r="K96" s="687"/>
      <c r="L96" s="687"/>
      <c r="M96" s="687"/>
      <c r="N96" s="687"/>
      <c r="O96" s="688">
        <v>1806303.01</v>
      </c>
      <c r="P96" s="688"/>
      <c r="R96" s="689">
        <v>199332.46</v>
      </c>
      <c r="S96" s="689"/>
      <c r="T96" s="689"/>
      <c r="W96" s="689">
        <v>0</v>
      </c>
      <c r="X96" s="689"/>
      <c r="Y96" s="689"/>
      <c r="Z96" s="689"/>
      <c r="AA96" s="689"/>
      <c r="AB96" s="689"/>
      <c r="AD96" s="688">
        <v>2005635.47</v>
      </c>
      <c r="AE96" s="688"/>
      <c r="AF96" s="688"/>
      <c r="AG96" s="688"/>
      <c r="AH96" s="688"/>
      <c r="AI96" s="688"/>
      <c r="AJ96" s="688"/>
    </row>
    <row r="97" spans="1:37" s="93" customFormat="1" x14ac:dyDescent="0.25">
      <c r="A97" s="663" t="s">
        <v>2686</v>
      </c>
      <c r="B97" s="663"/>
      <c r="C97" s="663"/>
      <c r="K97" s="663" t="s">
        <v>2316</v>
      </c>
      <c r="L97" s="663"/>
      <c r="M97" s="663"/>
      <c r="N97" s="663"/>
      <c r="O97" s="664">
        <v>1113475.1399999999</v>
      </c>
      <c r="P97" s="664"/>
      <c r="R97" s="665">
        <v>106099.03</v>
      </c>
      <c r="S97" s="665"/>
      <c r="T97" s="665"/>
      <c r="W97" s="665">
        <v>0</v>
      </c>
      <c r="X97" s="665"/>
      <c r="Y97" s="665"/>
      <c r="Z97" s="665"/>
      <c r="AA97" s="665"/>
      <c r="AB97" s="665"/>
      <c r="AD97" s="664">
        <v>1219574.17</v>
      </c>
      <c r="AE97" s="664"/>
      <c r="AF97" s="664"/>
      <c r="AG97" s="664"/>
      <c r="AH97" s="664"/>
      <c r="AI97" s="664"/>
      <c r="AJ97" s="664"/>
      <c r="AK97" s="93">
        <v>1</v>
      </c>
    </row>
    <row r="98" spans="1:37" s="365" customFormat="1" x14ac:dyDescent="0.25">
      <c r="A98" s="660" t="s">
        <v>2687</v>
      </c>
      <c r="B98" s="660"/>
      <c r="C98" s="660"/>
      <c r="K98" s="660" t="s">
        <v>1090</v>
      </c>
      <c r="L98" s="660"/>
      <c r="M98" s="660"/>
      <c r="N98" s="660"/>
      <c r="O98" s="661">
        <v>274501.21000000002</v>
      </c>
      <c r="P98" s="661"/>
      <c r="R98" s="662">
        <v>26546.76</v>
      </c>
      <c r="S98" s="662"/>
      <c r="T98" s="662"/>
      <c r="W98" s="662">
        <v>0</v>
      </c>
      <c r="X98" s="662"/>
      <c r="Y98" s="662"/>
      <c r="Z98" s="662"/>
      <c r="AA98" s="662"/>
      <c r="AB98" s="662"/>
      <c r="AD98" s="661">
        <v>301047.96999999997</v>
      </c>
      <c r="AE98" s="661"/>
      <c r="AF98" s="661"/>
      <c r="AG98" s="661"/>
      <c r="AH98" s="661"/>
      <c r="AI98" s="661"/>
      <c r="AJ98" s="661"/>
      <c r="AK98" s="365">
        <v>9</v>
      </c>
    </row>
    <row r="99" spans="1:37" s="157" customFormat="1" x14ac:dyDescent="0.25">
      <c r="A99" s="657" t="s">
        <v>2688</v>
      </c>
      <c r="B99" s="657"/>
      <c r="C99" s="657"/>
      <c r="K99" s="657" t="s">
        <v>1092</v>
      </c>
      <c r="L99" s="657"/>
      <c r="M99" s="657"/>
      <c r="N99" s="657"/>
      <c r="O99" s="658">
        <v>59243.02</v>
      </c>
      <c r="P99" s="658"/>
      <c r="R99" s="659">
        <v>5838.07</v>
      </c>
      <c r="S99" s="659"/>
      <c r="T99" s="659"/>
      <c r="W99" s="659">
        <v>0</v>
      </c>
      <c r="X99" s="659"/>
      <c r="Y99" s="659"/>
      <c r="Z99" s="659"/>
      <c r="AA99" s="659"/>
      <c r="AB99" s="659"/>
      <c r="AD99" s="658">
        <v>65081.09</v>
      </c>
      <c r="AE99" s="658"/>
      <c r="AF99" s="658"/>
      <c r="AG99" s="658"/>
      <c r="AH99" s="658"/>
      <c r="AI99" s="658"/>
      <c r="AJ99" s="658"/>
      <c r="AK99" s="157">
        <v>2</v>
      </c>
    </row>
    <row r="100" spans="1:37" s="108" customFormat="1" x14ac:dyDescent="0.25">
      <c r="A100" s="669" t="s">
        <v>2689</v>
      </c>
      <c r="B100" s="669"/>
      <c r="C100" s="669"/>
      <c r="K100" s="669" t="s">
        <v>1573</v>
      </c>
      <c r="L100" s="669"/>
      <c r="M100" s="669"/>
      <c r="N100" s="669"/>
      <c r="O100" s="670">
        <v>73534.52</v>
      </c>
      <c r="P100" s="670"/>
      <c r="R100" s="671">
        <v>8107.99</v>
      </c>
      <c r="S100" s="671"/>
      <c r="T100" s="671"/>
      <c r="W100" s="671">
        <v>0</v>
      </c>
      <c r="X100" s="671"/>
      <c r="Y100" s="671"/>
      <c r="Z100" s="671"/>
      <c r="AA100" s="671"/>
      <c r="AB100" s="671"/>
      <c r="AD100" s="670">
        <v>81642.509999999995</v>
      </c>
      <c r="AE100" s="670"/>
      <c r="AF100" s="670"/>
      <c r="AG100" s="670"/>
      <c r="AH100" s="670"/>
      <c r="AI100" s="670"/>
      <c r="AJ100" s="670"/>
      <c r="AK100" s="108">
        <v>5</v>
      </c>
    </row>
    <row r="101" spans="1:37" s="365" customFormat="1" x14ac:dyDescent="0.25">
      <c r="A101" s="660" t="s">
        <v>2690</v>
      </c>
      <c r="B101" s="660"/>
      <c r="C101" s="660"/>
      <c r="K101" s="660" t="s">
        <v>1575</v>
      </c>
      <c r="L101" s="660"/>
      <c r="M101" s="660"/>
      <c r="N101" s="660"/>
      <c r="O101" s="661">
        <v>13866.19</v>
      </c>
      <c r="P101" s="661"/>
      <c r="R101" s="662">
        <v>2213.4699999999998</v>
      </c>
      <c r="S101" s="662"/>
      <c r="T101" s="662"/>
      <c r="W101" s="662">
        <v>0</v>
      </c>
      <c r="X101" s="662"/>
      <c r="Y101" s="662"/>
      <c r="Z101" s="662"/>
      <c r="AA101" s="662"/>
      <c r="AB101" s="662"/>
      <c r="AD101" s="661">
        <v>16079.66</v>
      </c>
      <c r="AE101" s="661"/>
      <c r="AF101" s="661"/>
      <c r="AG101" s="661"/>
      <c r="AH101" s="661"/>
      <c r="AI101" s="661"/>
      <c r="AJ101" s="661"/>
      <c r="AK101" s="365">
        <v>9</v>
      </c>
    </row>
    <row r="102" spans="1:37" s="108" customFormat="1" x14ac:dyDescent="0.25">
      <c r="A102" s="669" t="s">
        <v>2691</v>
      </c>
      <c r="B102" s="669"/>
      <c r="C102" s="669"/>
      <c r="K102" s="669" t="s">
        <v>1579</v>
      </c>
      <c r="L102" s="669"/>
      <c r="M102" s="669"/>
      <c r="N102" s="669"/>
      <c r="O102" s="670">
        <v>53715.51</v>
      </c>
      <c r="P102" s="670"/>
      <c r="R102" s="671">
        <v>19256.52</v>
      </c>
      <c r="S102" s="671"/>
      <c r="T102" s="671"/>
      <c r="W102" s="671">
        <v>0</v>
      </c>
      <c r="X102" s="671"/>
      <c r="Y102" s="671"/>
      <c r="Z102" s="671"/>
      <c r="AA102" s="671"/>
      <c r="AB102" s="671"/>
      <c r="AD102" s="670">
        <v>72972.03</v>
      </c>
      <c r="AE102" s="670"/>
      <c r="AF102" s="670"/>
      <c r="AG102" s="670"/>
      <c r="AH102" s="670"/>
      <c r="AI102" s="670"/>
      <c r="AJ102" s="670"/>
      <c r="AK102" s="108">
        <v>5</v>
      </c>
    </row>
    <row r="103" spans="1:37" s="365" customFormat="1" x14ac:dyDescent="0.25">
      <c r="A103" s="660" t="s">
        <v>2692</v>
      </c>
      <c r="B103" s="660"/>
      <c r="C103" s="660"/>
      <c r="K103" s="660" t="s">
        <v>1581</v>
      </c>
      <c r="L103" s="660"/>
      <c r="M103" s="660"/>
      <c r="N103" s="660"/>
      <c r="O103" s="661">
        <v>14664.32</v>
      </c>
      <c r="P103" s="661"/>
      <c r="R103" s="662">
        <v>5257.04</v>
      </c>
      <c r="S103" s="662"/>
      <c r="T103" s="662"/>
      <c r="W103" s="662">
        <v>0</v>
      </c>
      <c r="X103" s="662"/>
      <c r="Y103" s="662"/>
      <c r="Z103" s="662"/>
      <c r="AA103" s="662"/>
      <c r="AB103" s="662"/>
      <c r="AD103" s="661">
        <v>19921.36</v>
      </c>
      <c r="AE103" s="661"/>
      <c r="AF103" s="661"/>
      <c r="AG103" s="661"/>
      <c r="AH103" s="661"/>
      <c r="AI103" s="661"/>
      <c r="AJ103" s="661"/>
      <c r="AK103" s="365">
        <v>9</v>
      </c>
    </row>
    <row r="104" spans="1:37" s="157" customFormat="1" x14ac:dyDescent="0.25">
      <c r="A104" s="657" t="s">
        <v>2693</v>
      </c>
      <c r="B104" s="657"/>
      <c r="C104" s="657"/>
      <c r="K104" s="657" t="s">
        <v>1583</v>
      </c>
      <c r="L104" s="657"/>
      <c r="M104" s="657"/>
      <c r="N104" s="657"/>
      <c r="O104" s="658">
        <v>4838.6899999999996</v>
      </c>
      <c r="P104" s="658"/>
      <c r="R104" s="659">
        <v>1540.52</v>
      </c>
      <c r="S104" s="659"/>
      <c r="T104" s="659"/>
      <c r="W104" s="659">
        <v>0</v>
      </c>
      <c r="X104" s="659"/>
      <c r="Y104" s="659"/>
      <c r="Z104" s="659"/>
      <c r="AA104" s="659"/>
      <c r="AB104" s="659"/>
      <c r="AD104" s="658">
        <v>6379.21</v>
      </c>
      <c r="AE104" s="658"/>
      <c r="AF104" s="658"/>
      <c r="AG104" s="658"/>
      <c r="AH104" s="658"/>
      <c r="AI104" s="658"/>
      <c r="AJ104" s="658"/>
      <c r="AK104" s="157">
        <v>2</v>
      </c>
    </row>
    <row r="105" spans="1:37" s="157" customFormat="1" x14ac:dyDescent="0.25">
      <c r="A105" s="657" t="s">
        <v>2694</v>
      </c>
      <c r="B105" s="657"/>
      <c r="C105" s="657"/>
      <c r="K105" s="657" t="s">
        <v>1577</v>
      </c>
      <c r="L105" s="657"/>
      <c r="M105" s="657"/>
      <c r="N105" s="657"/>
      <c r="O105" s="658">
        <v>4102.49</v>
      </c>
      <c r="P105" s="658"/>
      <c r="R105" s="659">
        <v>648.64</v>
      </c>
      <c r="S105" s="659"/>
      <c r="T105" s="659"/>
      <c r="W105" s="659">
        <v>0</v>
      </c>
      <c r="X105" s="659"/>
      <c r="Y105" s="659"/>
      <c r="Z105" s="659"/>
      <c r="AA105" s="659"/>
      <c r="AB105" s="659"/>
      <c r="AD105" s="658">
        <v>4751.13</v>
      </c>
      <c r="AE105" s="658"/>
      <c r="AF105" s="658"/>
      <c r="AG105" s="658"/>
      <c r="AH105" s="658"/>
      <c r="AI105" s="658"/>
      <c r="AJ105" s="658"/>
      <c r="AK105" s="157">
        <v>2</v>
      </c>
    </row>
    <row r="106" spans="1:37" s="164" customFormat="1" x14ac:dyDescent="0.25">
      <c r="A106" s="675" t="s">
        <v>2695</v>
      </c>
      <c r="B106" s="675"/>
      <c r="C106" s="675"/>
      <c r="K106" s="675" t="s">
        <v>503</v>
      </c>
      <c r="L106" s="675"/>
      <c r="M106" s="675"/>
      <c r="N106" s="675"/>
      <c r="O106" s="676">
        <v>24132.959999999999</v>
      </c>
      <c r="P106" s="676"/>
      <c r="R106" s="677">
        <v>2010.04</v>
      </c>
      <c r="S106" s="677"/>
      <c r="T106" s="677"/>
      <c r="W106" s="677">
        <v>0</v>
      </c>
      <c r="X106" s="677"/>
      <c r="Y106" s="677"/>
      <c r="Z106" s="677"/>
      <c r="AA106" s="677"/>
      <c r="AB106" s="677"/>
      <c r="AD106" s="676">
        <v>26143</v>
      </c>
      <c r="AE106" s="676"/>
      <c r="AF106" s="676"/>
      <c r="AG106" s="676"/>
      <c r="AH106" s="676"/>
      <c r="AI106" s="676"/>
      <c r="AJ106" s="676"/>
      <c r="AK106" s="164">
        <v>4</v>
      </c>
    </row>
    <row r="107" spans="1:37" s="164" customFormat="1" x14ac:dyDescent="0.25">
      <c r="A107" s="675" t="s">
        <v>2696</v>
      </c>
      <c r="B107" s="675"/>
      <c r="C107" s="675"/>
      <c r="K107" s="675" t="s">
        <v>501</v>
      </c>
      <c r="L107" s="675"/>
      <c r="M107" s="675"/>
      <c r="N107" s="675"/>
      <c r="O107" s="676">
        <v>7539.68</v>
      </c>
      <c r="P107" s="676"/>
      <c r="R107" s="677">
        <v>3545.14</v>
      </c>
      <c r="S107" s="677"/>
      <c r="T107" s="677"/>
      <c r="W107" s="677">
        <v>0</v>
      </c>
      <c r="X107" s="677"/>
      <c r="Y107" s="677"/>
      <c r="Z107" s="677"/>
      <c r="AA107" s="677"/>
      <c r="AB107" s="677"/>
      <c r="AD107" s="676">
        <v>11084.82</v>
      </c>
      <c r="AE107" s="676"/>
      <c r="AF107" s="676"/>
      <c r="AG107" s="676"/>
      <c r="AH107" s="676"/>
      <c r="AI107" s="676"/>
      <c r="AJ107" s="676"/>
      <c r="AK107" s="164">
        <v>4</v>
      </c>
    </row>
    <row r="108" spans="1:37" s="381" customFormat="1" x14ac:dyDescent="0.25">
      <c r="A108" s="672" t="s">
        <v>2697</v>
      </c>
      <c r="B108" s="672"/>
      <c r="C108" s="672"/>
      <c r="K108" s="672" t="s">
        <v>1867</v>
      </c>
      <c r="L108" s="672"/>
      <c r="M108" s="672"/>
      <c r="N108" s="672"/>
      <c r="O108" s="673">
        <v>719.91</v>
      </c>
      <c r="P108" s="673"/>
      <c r="R108" s="674">
        <v>62.86</v>
      </c>
      <c r="S108" s="674"/>
      <c r="T108" s="674"/>
      <c r="W108" s="674">
        <v>0</v>
      </c>
      <c r="X108" s="674"/>
      <c r="Y108" s="674"/>
      <c r="Z108" s="674"/>
      <c r="AA108" s="674"/>
      <c r="AB108" s="674"/>
      <c r="AD108" s="673">
        <v>782.77</v>
      </c>
      <c r="AE108" s="673"/>
      <c r="AF108" s="673"/>
      <c r="AG108" s="673"/>
      <c r="AH108" s="673"/>
      <c r="AI108" s="673"/>
      <c r="AJ108" s="673"/>
      <c r="AK108" s="381">
        <v>6</v>
      </c>
    </row>
    <row r="109" spans="1:37" s="380" customFormat="1" x14ac:dyDescent="0.25">
      <c r="A109" s="651" t="s">
        <v>2698</v>
      </c>
      <c r="B109" s="651"/>
      <c r="C109" s="651"/>
      <c r="K109" s="651" t="s">
        <v>1624</v>
      </c>
      <c r="L109" s="651"/>
      <c r="M109" s="651"/>
      <c r="N109" s="651"/>
      <c r="O109" s="652">
        <v>117678.34</v>
      </c>
      <c r="P109" s="652"/>
      <c r="R109" s="653">
        <v>12335.75</v>
      </c>
      <c r="S109" s="653"/>
      <c r="T109" s="653"/>
      <c r="W109" s="653">
        <v>0</v>
      </c>
      <c r="X109" s="653"/>
      <c r="Y109" s="653"/>
      <c r="Z109" s="653"/>
      <c r="AA109" s="653"/>
      <c r="AB109" s="653"/>
      <c r="AD109" s="652">
        <v>130014.09</v>
      </c>
      <c r="AE109" s="652"/>
      <c r="AF109" s="652"/>
      <c r="AG109" s="652"/>
      <c r="AH109" s="652"/>
      <c r="AI109" s="652"/>
      <c r="AJ109" s="652"/>
      <c r="AK109" s="380">
        <v>3</v>
      </c>
    </row>
    <row r="110" spans="1:37" s="381" customFormat="1" x14ac:dyDescent="0.25">
      <c r="A110" s="672" t="s">
        <v>2699</v>
      </c>
      <c r="B110" s="672"/>
      <c r="C110" s="672"/>
      <c r="K110" s="672" t="s">
        <v>1870</v>
      </c>
      <c r="L110" s="672"/>
      <c r="M110" s="672"/>
      <c r="N110" s="672"/>
      <c r="O110" s="673">
        <v>41000.35</v>
      </c>
      <c r="P110" s="673"/>
      <c r="R110" s="674">
        <v>5870.63</v>
      </c>
      <c r="S110" s="674"/>
      <c r="T110" s="674"/>
      <c r="W110" s="674">
        <v>0</v>
      </c>
      <c r="X110" s="674"/>
      <c r="Y110" s="674"/>
      <c r="Z110" s="674"/>
      <c r="AA110" s="674"/>
      <c r="AB110" s="674"/>
      <c r="AD110" s="673">
        <v>46870.98</v>
      </c>
      <c r="AE110" s="673"/>
      <c r="AF110" s="673"/>
      <c r="AG110" s="673"/>
      <c r="AH110" s="673"/>
      <c r="AI110" s="673"/>
      <c r="AJ110" s="673"/>
      <c r="AK110" s="381">
        <v>6</v>
      </c>
    </row>
    <row r="111" spans="1:37" s="382" customFormat="1" ht="24" customHeight="1" x14ac:dyDescent="0.25">
      <c r="A111" s="645" t="s">
        <v>2700</v>
      </c>
      <c r="B111" s="645"/>
      <c r="C111" s="645"/>
      <c r="K111" s="645" t="s">
        <v>1633</v>
      </c>
      <c r="L111" s="645"/>
      <c r="M111" s="645"/>
      <c r="N111" s="645"/>
      <c r="O111" s="646">
        <v>3290.68</v>
      </c>
      <c r="P111" s="646"/>
      <c r="R111" s="647">
        <v>0</v>
      </c>
      <c r="S111" s="647"/>
      <c r="T111" s="647"/>
      <c r="W111" s="647">
        <v>0</v>
      </c>
      <c r="X111" s="647"/>
      <c r="Y111" s="647"/>
      <c r="Z111" s="647"/>
      <c r="AA111" s="647"/>
      <c r="AB111" s="647"/>
      <c r="AD111" s="646">
        <v>3290.68</v>
      </c>
      <c r="AE111" s="646"/>
      <c r="AF111" s="646"/>
      <c r="AG111" s="646"/>
      <c r="AH111" s="646"/>
      <c r="AI111" s="646"/>
      <c r="AJ111" s="646"/>
      <c r="AK111" s="382">
        <v>7</v>
      </c>
    </row>
    <row r="112" spans="1:37" hidden="1" x14ac:dyDescent="0.25">
      <c r="N112" s="688">
        <v>1806303.01</v>
      </c>
      <c r="O112" s="688"/>
      <c r="P112" s="688"/>
      <c r="Q112" s="89"/>
      <c r="R112" s="690">
        <v>199332.46</v>
      </c>
      <c r="S112" s="690"/>
      <c r="T112" s="690"/>
      <c r="U112" s="89"/>
      <c r="V112" s="690">
        <v>0</v>
      </c>
      <c r="W112" s="690"/>
      <c r="X112" s="690"/>
      <c r="Y112" s="690"/>
      <c r="Z112" s="690"/>
      <c r="AA112" s="690"/>
      <c r="AB112" s="690"/>
      <c r="AC112" s="89"/>
      <c r="AD112" s="688">
        <v>2005635.47</v>
      </c>
      <c r="AE112" s="688"/>
      <c r="AF112" s="688"/>
      <c r="AG112" s="688"/>
      <c r="AH112" s="688"/>
      <c r="AI112" s="688"/>
      <c r="AJ112" s="688"/>
      <c r="AK112" s="319">
        <v>2005635.47</v>
      </c>
    </row>
    <row r="113" spans="37:37" hidden="1" x14ac:dyDescent="0.25"/>
    <row r="114" spans="37:37" ht="19.5" customHeight="1" x14ac:dyDescent="0.25">
      <c r="AK114" s="320">
        <f>SUM(AK94,AK112)</f>
        <v>8110412.0799999991</v>
      </c>
    </row>
  </sheetData>
  <autoFilter ref="A1:AK114">
    <filterColumn colId="1">
      <colorFilter dxfId="0" cellColor="0"/>
    </filterColumn>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autoFilter>
  <mergeCells count="651">
    <mergeCell ref="N112:P112"/>
    <mergeCell ref="R112:T112"/>
    <mergeCell ref="V112:AB112"/>
    <mergeCell ref="AD112:AJ112"/>
    <mergeCell ref="A110:C110"/>
    <mergeCell ref="K110:N110"/>
    <mergeCell ref="O110:P110"/>
    <mergeCell ref="R110:T110"/>
    <mergeCell ref="W110:AB110"/>
    <mergeCell ref="AD110:AJ110"/>
    <mergeCell ref="A111:C111"/>
    <mergeCell ref="K111:N111"/>
    <mergeCell ref="O111:P111"/>
    <mergeCell ref="R111:T111"/>
    <mergeCell ref="W111:AB111"/>
    <mergeCell ref="AD111:AJ111"/>
    <mergeCell ref="A108:C108"/>
    <mergeCell ref="K108:N108"/>
    <mergeCell ref="O108:P108"/>
    <mergeCell ref="R108:T108"/>
    <mergeCell ref="W108:AB108"/>
    <mergeCell ref="AD108:AJ108"/>
    <mergeCell ref="A109:C109"/>
    <mergeCell ref="K109:N109"/>
    <mergeCell ref="O109:P109"/>
    <mergeCell ref="R109:T109"/>
    <mergeCell ref="W109:AB109"/>
    <mergeCell ref="AD109:AJ109"/>
    <mergeCell ref="A106:C106"/>
    <mergeCell ref="K106:N106"/>
    <mergeCell ref="O106:P106"/>
    <mergeCell ref="R106:T106"/>
    <mergeCell ref="W106:AB106"/>
    <mergeCell ref="AD106:AJ106"/>
    <mergeCell ref="A107:C107"/>
    <mergeCell ref="K107:N107"/>
    <mergeCell ref="O107:P107"/>
    <mergeCell ref="R107:T107"/>
    <mergeCell ref="W107:AB107"/>
    <mergeCell ref="AD107:AJ107"/>
    <mergeCell ref="A104:C104"/>
    <mergeCell ref="K104:N104"/>
    <mergeCell ref="O104:P104"/>
    <mergeCell ref="R104:T104"/>
    <mergeCell ref="W104:AB104"/>
    <mergeCell ref="AD104:AJ104"/>
    <mergeCell ref="A105:C105"/>
    <mergeCell ref="K105:N105"/>
    <mergeCell ref="O105:P105"/>
    <mergeCell ref="R105:T105"/>
    <mergeCell ref="W105:AB105"/>
    <mergeCell ref="AD105:AJ105"/>
    <mergeCell ref="A102:C102"/>
    <mergeCell ref="K102:N102"/>
    <mergeCell ref="O102:P102"/>
    <mergeCell ref="R102:T102"/>
    <mergeCell ref="W102:AB102"/>
    <mergeCell ref="AD102:AJ102"/>
    <mergeCell ref="A103:C103"/>
    <mergeCell ref="K103:N103"/>
    <mergeCell ref="O103:P103"/>
    <mergeCell ref="R103:T103"/>
    <mergeCell ref="W103:AB103"/>
    <mergeCell ref="AD103:AJ103"/>
    <mergeCell ref="A100:C100"/>
    <mergeCell ref="K100:N100"/>
    <mergeCell ref="O100:P100"/>
    <mergeCell ref="R100:T100"/>
    <mergeCell ref="W100:AB100"/>
    <mergeCell ref="AD100:AJ100"/>
    <mergeCell ref="A101:C101"/>
    <mergeCell ref="K101:N101"/>
    <mergeCell ref="O101:P101"/>
    <mergeCell ref="R101:T101"/>
    <mergeCell ref="W101:AB101"/>
    <mergeCell ref="AD101:AJ101"/>
    <mergeCell ref="A98:C98"/>
    <mergeCell ref="K98:N98"/>
    <mergeCell ref="O98:P98"/>
    <mergeCell ref="R98:T98"/>
    <mergeCell ref="W98:AB98"/>
    <mergeCell ref="AD98:AJ98"/>
    <mergeCell ref="A99:C99"/>
    <mergeCell ref="K99:N99"/>
    <mergeCell ref="O99:P99"/>
    <mergeCell ref="R99:T99"/>
    <mergeCell ref="W99:AB99"/>
    <mergeCell ref="AD99:AJ99"/>
    <mergeCell ref="A97:C97"/>
    <mergeCell ref="K97:N97"/>
    <mergeCell ref="O97:P97"/>
    <mergeCell ref="R97:T97"/>
    <mergeCell ref="W97:AB97"/>
    <mergeCell ref="AD97:AJ97"/>
    <mergeCell ref="A95:AG95"/>
    <mergeCell ref="A96:C96"/>
    <mergeCell ref="H96:N96"/>
    <mergeCell ref="O96:P96"/>
    <mergeCell ref="R96:T96"/>
    <mergeCell ref="W96:AB96"/>
    <mergeCell ref="AD96:AJ96"/>
    <mergeCell ref="A93:C93"/>
    <mergeCell ref="K93:N93"/>
    <mergeCell ref="O93:P93"/>
    <mergeCell ref="R93:T93"/>
    <mergeCell ref="W93:AB93"/>
    <mergeCell ref="AD93:AJ93"/>
    <mergeCell ref="N94:P94"/>
    <mergeCell ref="R94:T94"/>
    <mergeCell ref="V94:AB94"/>
    <mergeCell ref="AD94:AJ94"/>
    <mergeCell ref="A91:C91"/>
    <mergeCell ref="K91:N91"/>
    <mergeCell ref="O91:P91"/>
    <mergeCell ref="R91:T91"/>
    <mergeCell ref="W91:AB91"/>
    <mergeCell ref="AD91:AJ91"/>
    <mergeCell ref="A92:C92"/>
    <mergeCell ref="K92:N92"/>
    <mergeCell ref="O92:P92"/>
    <mergeCell ref="R92:T92"/>
    <mergeCell ref="W92:AB92"/>
    <mergeCell ref="AD92:AJ92"/>
    <mergeCell ref="A90:C90"/>
    <mergeCell ref="K90:N90"/>
    <mergeCell ref="O90:P90"/>
    <mergeCell ref="R90:T90"/>
    <mergeCell ref="W90:AB90"/>
    <mergeCell ref="AD90:AJ90"/>
    <mergeCell ref="A89:C89"/>
    <mergeCell ref="K89:N89"/>
    <mergeCell ref="O89:P89"/>
    <mergeCell ref="R89:T89"/>
    <mergeCell ref="W89:AB89"/>
    <mergeCell ref="AD89:AJ89"/>
    <mergeCell ref="A87:C87"/>
    <mergeCell ref="K87:N87"/>
    <mergeCell ref="O87:P87"/>
    <mergeCell ref="R87:T87"/>
    <mergeCell ref="W87:AB87"/>
    <mergeCell ref="AD87:AJ87"/>
    <mergeCell ref="A88:C88"/>
    <mergeCell ref="K88:N88"/>
    <mergeCell ref="O88:P88"/>
    <mergeCell ref="R88:T88"/>
    <mergeCell ref="W88:AB88"/>
    <mergeCell ref="AD88:AJ88"/>
    <mergeCell ref="A85:C85"/>
    <mergeCell ref="K85:N85"/>
    <mergeCell ref="O85:P85"/>
    <mergeCell ref="R85:T85"/>
    <mergeCell ref="W85:AB85"/>
    <mergeCell ref="AD85:AJ85"/>
    <mergeCell ref="A86:C86"/>
    <mergeCell ref="K86:N86"/>
    <mergeCell ref="O86:P86"/>
    <mergeCell ref="R86:T86"/>
    <mergeCell ref="W86:AB86"/>
    <mergeCell ref="AD86:AJ86"/>
    <mergeCell ref="A84:C84"/>
    <mergeCell ref="K84:N84"/>
    <mergeCell ref="O84:P84"/>
    <mergeCell ref="R84:T84"/>
    <mergeCell ref="W84:AB84"/>
    <mergeCell ref="AD84:AJ84"/>
    <mergeCell ref="A82:C82"/>
    <mergeCell ref="K82:N82"/>
    <mergeCell ref="O82:P82"/>
    <mergeCell ref="R82:T82"/>
    <mergeCell ref="W82:AB82"/>
    <mergeCell ref="AD82:AJ82"/>
    <mergeCell ref="A83:C83"/>
    <mergeCell ref="K83:N83"/>
    <mergeCell ref="O83:P83"/>
    <mergeCell ref="R83:T83"/>
    <mergeCell ref="W83:AB83"/>
    <mergeCell ref="AD83:AJ83"/>
    <mergeCell ref="A80:C80"/>
    <mergeCell ref="K80:N80"/>
    <mergeCell ref="O80:P80"/>
    <mergeCell ref="R80:T80"/>
    <mergeCell ref="W80:AB80"/>
    <mergeCell ref="AD80:AJ80"/>
    <mergeCell ref="A81:C81"/>
    <mergeCell ref="K81:N81"/>
    <mergeCell ref="O81:P81"/>
    <mergeCell ref="R81:T81"/>
    <mergeCell ref="W81:AB81"/>
    <mergeCell ref="AD81:AJ81"/>
    <mergeCell ref="C1:AJ1"/>
    <mergeCell ref="C2:K2"/>
    <mergeCell ref="M2:P2"/>
    <mergeCell ref="X2:Z2"/>
    <mergeCell ref="AB2:AE2"/>
    <mergeCell ref="AG2:AI2"/>
    <mergeCell ref="B5:F5"/>
    <mergeCell ref="H5:M5"/>
    <mergeCell ref="N5:P5"/>
    <mergeCell ref="S5:T5"/>
    <mergeCell ref="Y5:AB5"/>
    <mergeCell ref="AH5:AJ5"/>
    <mergeCell ref="C3:O3"/>
    <mergeCell ref="T3:X3"/>
    <mergeCell ref="Z3:AD3"/>
    <mergeCell ref="AF3:AG3"/>
    <mergeCell ref="AI3:AJ3"/>
    <mergeCell ref="C4:O4"/>
    <mergeCell ref="A6:C6"/>
    <mergeCell ref="K6:N6"/>
    <mergeCell ref="O6:P6"/>
    <mergeCell ref="R6:T6"/>
    <mergeCell ref="W6:AB6"/>
    <mergeCell ref="AD6:AJ6"/>
    <mergeCell ref="A8:C8"/>
    <mergeCell ref="K8:N8"/>
    <mergeCell ref="O8:P8"/>
    <mergeCell ref="R8:T8"/>
    <mergeCell ref="W8:AB8"/>
    <mergeCell ref="AD8:AJ8"/>
    <mergeCell ref="A7:C7"/>
    <mergeCell ref="K7:N7"/>
    <mergeCell ref="O7:P7"/>
    <mergeCell ref="R7:T7"/>
    <mergeCell ref="W7:AB7"/>
    <mergeCell ref="AD7:AJ7"/>
    <mergeCell ref="A10:C10"/>
    <mergeCell ref="K10:N10"/>
    <mergeCell ref="O10:P10"/>
    <mergeCell ref="R10:T10"/>
    <mergeCell ref="W10:AB10"/>
    <mergeCell ref="AD10:AJ10"/>
    <mergeCell ref="A9:C9"/>
    <mergeCell ref="K9:N9"/>
    <mergeCell ref="O9:P9"/>
    <mergeCell ref="R9:T9"/>
    <mergeCell ref="W9:AB9"/>
    <mergeCell ref="AD9:AJ9"/>
    <mergeCell ref="A12:C12"/>
    <mergeCell ref="K12:N12"/>
    <mergeCell ref="O12:P12"/>
    <mergeCell ref="R12:T12"/>
    <mergeCell ref="W12:AB12"/>
    <mergeCell ref="AD12:AJ12"/>
    <mergeCell ref="A11:C11"/>
    <mergeCell ref="K11:N11"/>
    <mergeCell ref="O11:P11"/>
    <mergeCell ref="R11:T11"/>
    <mergeCell ref="W11:AB11"/>
    <mergeCell ref="AD11:AJ11"/>
    <mergeCell ref="A14:C14"/>
    <mergeCell ref="K14:N14"/>
    <mergeCell ref="O14:P14"/>
    <mergeCell ref="R14:T14"/>
    <mergeCell ref="W14:AB14"/>
    <mergeCell ref="AD14:AJ14"/>
    <mergeCell ref="A13:C13"/>
    <mergeCell ref="K13:N13"/>
    <mergeCell ref="O13:P13"/>
    <mergeCell ref="R13:T13"/>
    <mergeCell ref="W13:AB13"/>
    <mergeCell ref="AD13:AJ13"/>
    <mergeCell ref="A15:C15"/>
    <mergeCell ref="K15:N15"/>
    <mergeCell ref="O15:P15"/>
    <mergeCell ref="R15:T15"/>
    <mergeCell ref="W15:AB15"/>
    <mergeCell ref="AD15:AJ15"/>
    <mergeCell ref="A16:C16"/>
    <mergeCell ref="K16:N16"/>
    <mergeCell ref="O16:P16"/>
    <mergeCell ref="R16:T16"/>
    <mergeCell ref="W16:AB16"/>
    <mergeCell ref="AD16:AJ16"/>
    <mergeCell ref="A18:C18"/>
    <mergeCell ref="K18:N18"/>
    <mergeCell ref="O18:P18"/>
    <mergeCell ref="R18:T18"/>
    <mergeCell ref="W18:AB18"/>
    <mergeCell ref="AD18:AJ18"/>
    <mergeCell ref="A17:C17"/>
    <mergeCell ref="K17:N17"/>
    <mergeCell ref="O17:P17"/>
    <mergeCell ref="R17:T17"/>
    <mergeCell ref="W17:AB17"/>
    <mergeCell ref="AD17:AJ17"/>
    <mergeCell ref="A20:C20"/>
    <mergeCell ref="K20:N20"/>
    <mergeCell ref="O20:P20"/>
    <mergeCell ref="R20:T20"/>
    <mergeCell ref="W20:AB20"/>
    <mergeCell ref="AD20:AJ20"/>
    <mergeCell ref="A19:C19"/>
    <mergeCell ref="K19:N19"/>
    <mergeCell ref="O19:P19"/>
    <mergeCell ref="R19:T19"/>
    <mergeCell ref="W19:AB19"/>
    <mergeCell ref="AD19:AJ19"/>
    <mergeCell ref="A22:C22"/>
    <mergeCell ref="K22:N22"/>
    <mergeCell ref="O22:P22"/>
    <mergeCell ref="R22:T22"/>
    <mergeCell ref="W22:AB22"/>
    <mergeCell ref="AD22:AJ22"/>
    <mergeCell ref="A21:C21"/>
    <mergeCell ref="K21:N21"/>
    <mergeCell ref="O21:P21"/>
    <mergeCell ref="R21:T21"/>
    <mergeCell ref="W21:AB21"/>
    <mergeCell ref="AD21:AJ21"/>
    <mergeCell ref="A24:C24"/>
    <mergeCell ref="K24:N24"/>
    <mergeCell ref="O24:P24"/>
    <mergeCell ref="R24:T24"/>
    <mergeCell ref="W24:AB24"/>
    <mergeCell ref="AD24:AJ24"/>
    <mergeCell ref="A23:C23"/>
    <mergeCell ref="K23:N23"/>
    <mergeCell ref="O23:P23"/>
    <mergeCell ref="R23:T23"/>
    <mergeCell ref="W23:AB23"/>
    <mergeCell ref="AD23:AJ23"/>
    <mergeCell ref="A26:C26"/>
    <mergeCell ref="K26:N26"/>
    <mergeCell ref="O26:P26"/>
    <mergeCell ref="R26:T26"/>
    <mergeCell ref="W26:AB26"/>
    <mergeCell ref="AD26:AJ26"/>
    <mergeCell ref="A25:C25"/>
    <mergeCell ref="K25:N25"/>
    <mergeCell ref="O25:P25"/>
    <mergeCell ref="R25:T25"/>
    <mergeCell ref="W25:AB25"/>
    <mergeCell ref="AD25:AJ25"/>
    <mergeCell ref="A28:C28"/>
    <mergeCell ref="K28:N28"/>
    <mergeCell ref="O28:P28"/>
    <mergeCell ref="R28:T28"/>
    <mergeCell ref="W28:AB28"/>
    <mergeCell ref="AD28:AJ28"/>
    <mergeCell ref="A27:C27"/>
    <mergeCell ref="K27:N27"/>
    <mergeCell ref="O27:P27"/>
    <mergeCell ref="R27:T27"/>
    <mergeCell ref="W27:AB27"/>
    <mergeCell ref="AD27:AJ27"/>
    <mergeCell ref="A29:C29"/>
    <mergeCell ref="K29:N29"/>
    <mergeCell ref="O29:P29"/>
    <mergeCell ref="R29:T29"/>
    <mergeCell ref="W29:AB29"/>
    <mergeCell ref="AD29:AJ29"/>
    <mergeCell ref="A30:C30"/>
    <mergeCell ref="K30:N30"/>
    <mergeCell ref="O30:P30"/>
    <mergeCell ref="R30:T30"/>
    <mergeCell ref="W30:AB30"/>
    <mergeCell ref="AD30:AJ30"/>
    <mergeCell ref="A31:C31"/>
    <mergeCell ref="K31:N31"/>
    <mergeCell ref="O31:P31"/>
    <mergeCell ref="R31:T31"/>
    <mergeCell ref="W31:AB31"/>
    <mergeCell ref="AD31:AJ31"/>
    <mergeCell ref="A32:C32"/>
    <mergeCell ref="K32:N32"/>
    <mergeCell ref="O32:P32"/>
    <mergeCell ref="R32:T32"/>
    <mergeCell ref="W32:AB32"/>
    <mergeCell ref="AD32:AJ32"/>
    <mergeCell ref="A33:C33"/>
    <mergeCell ref="K33:N33"/>
    <mergeCell ref="O33:P33"/>
    <mergeCell ref="R33:T33"/>
    <mergeCell ref="W33:AB33"/>
    <mergeCell ref="AD33:AJ33"/>
    <mergeCell ref="A34:C34"/>
    <mergeCell ref="K34:N34"/>
    <mergeCell ref="O34:P34"/>
    <mergeCell ref="R34:T34"/>
    <mergeCell ref="W34:AB34"/>
    <mergeCell ref="AD34:AJ34"/>
    <mergeCell ref="A35:C35"/>
    <mergeCell ref="K35:N35"/>
    <mergeCell ref="O35:P35"/>
    <mergeCell ref="R35:T35"/>
    <mergeCell ref="W35:AB35"/>
    <mergeCell ref="AD35:AJ35"/>
    <mergeCell ref="A36:C36"/>
    <mergeCell ref="K36:N36"/>
    <mergeCell ref="O36:P36"/>
    <mergeCell ref="R36:T36"/>
    <mergeCell ref="W36:AB36"/>
    <mergeCell ref="AD36:AJ36"/>
    <mergeCell ref="A37:C37"/>
    <mergeCell ref="K37:N37"/>
    <mergeCell ref="O37:P37"/>
    <mergeCell ref="R37:T37"/>
    <mergeCell ref="W37:AB37"/>
    <mergeCell ref="AD37:AJ37"/>
    <mergeCell ref="A38:C38"/>
    <mergeCell ref="K38:N38"/>
    <mergeCell ref="O38:P38"/>
    <mergeCell ref="R38:T38"/>
    <mergeCell ref="W38:AB38"/>
    <mergeCell ref="AD38:AJ38"/>
    <mergeCell ref="A40:C40"/>
    <mergeCell ref="K40:N40"/>
    <mergeCell ref="O40:P40"/>
    <mergeCell ref="R40:T40"/>
    <mergeCell ref="W40:AB40"/>
    <mergeCell ref="AD40:AJ40"/>
    <mergeCell ref="A39:C39"/>
    <mergeCell ref="K39:N39"/>
    <mergeCell ref="O39:P39"/>
    <mergeCell ref="R39:T39"/>
    <mergeCell ref="W39:AB39"/>
    <mergeCell ref="AD39:AJ39"/>
    <mergeCell ref="A41:C41"/>
    <mergeCell ref="K41:N41"/>
    <mergeCell ref="O41:P41"/>
    <mergeCell ref="R41:T41"/>
    <mergeCell ref="W41:AB41"/>
    <mergeCell ref="AD41:AJ41"/>
    <mergeCell ref="A42:C42"/>
    <mergeCell ref="K42:N42"/>
    <mergeCell ref="O42:P42"/>
    <mergeCell ref="R42:T42"/>
    <mergeCell ref="W42:AB42"/>
    <mergeCell ref="AD42:AJ42"/>
    <mergeCell ref="A44:C44"/>
    <mergeCell ref="K44:N44"/>
    <mergeCell ref="O44:P44"/>
    <mergeCell ref="R44:T44"/>
    <mergeCell ref="W44:AB44"/>
    <mergeCell ref="AD44:AJ44"/>
    <mergeCell ref="A43:C43"/>
    <mergeCell ref="K43:N43"/>
    <mergeCell ref="O43:P43"/>
    <mergeCell ref="R43:T43"/>
    <mergeCell ref="W43:AB43"/>
    <mergeCell ref="AD43:AJ43"/>
    <mergeCell ref="A46:C46"/>
    <mergeCell ref="K46:N46"/>
    <mergeCell ref="O46:P46"/>
    <mergeCell ref="R46:T46"/>
    <mergeCell ref="W46:AB46"/>
    <mergeCell ref="AD46:AJ46"/>
    <mergeCell ref="A45:C45"/>
    <mergeCell ref="K45:N45"/>
    <mergeCell ref="O45:P45"/>
    <mergeCell ref="R45:T45"/>
    <mergeCell ref="W45:AB45"/>
    <mergeCell ref="AD45:AJ45"/>
    <mergeCell ref="A47:C47"/>
    <mergeCell ref="K47:N47"/>
    <mergeCell ref="O47:P47"/>
    <mergeCell ref="R47:T47"/>
    <mergeCell ref="W47:AB47"/>
    <mergeCell ref="AD47:AJ47"/>
    <mergeCell ref="A48:C48"/>
    <mergeCell ref="K48:N48"/>
    <mergeCell ref="O48:P48"/>
    <mergeCell ref="R48:T48"/>
    <mergeCell ref="W48:AB48"/>
    <mergeCell ref="AD48:AJ48"/>
    <mergeCell ref="A49:C49"/>
    <mergeCell ref="K49:N49"/>
    <mergeCell ref="O49:P49"/>
    <mergeCell ref="R49:T49"/>
    <mergeCell ref="W49:AB49"/>
    <mergeCell ref="AD49:AJ49"/>
    <mergeCell ref="A51:C51"/>
    <mergeCell ref="K51:N51"/>
    <mergeCell ref="O51:P51"/>
    <mergeCell ref="R51:T51"/>
    <mergeCell ref="W51:AB51"/>
    <mergeCell ref="AD51:AJ51"/>
    <mergeCell ref="A50:C50"/>
    <mergeCell ref="K50:N50"/>
    <mergeCell ref="O50:P50"/>
    <mergeCell ref="R50:T50"/>
    <mergeCell ref="W50:AB50"/>
    <mergeCell ref="AD50:AJ50"/>
    <mergeCell ref="A53:C53"/>
    <mergeCell ref="K53:N53"/>
    <mergeCell ref="O53:P53"/>
    <mergeCell ref="R53:T53"/>
    <mergeCell ref="W53:AB53"/>
    <mergeCell ref="AD53:AJ53"/>
    <mergeCell ref="A52:C52"/>
    <mergeCell ref="K52:N52"/>
    <mergeCell ref="O52:P52"/>
    <mergeCell ref="R52:T52"/>
    <mergeCell ref="W52:AB52"/>
    <mergeCell ref="AD52:AJ52"/>
    <mergeCell ref="A55:C55"/>
    <mergeCell ref="K55:N55"/>
    <mergeCell ref="O55:P55"/>
    <mergeCell ref="R55:T55"/>
    <mergeCell ref="W55:AB55"/>
    <mergeCell ref="AD55:AJ55"/>
    <mergeCell ref="A54:C54"/>
    <mergeCell ref="K54:N54"/>
    <mergeCell ref="O54:P54"/>
    <mergeCell ref="R54:T54"/>
    <mergeCell ref="W54:AB54"/>
    <mergeCell ref="AD54:AJ54"/>
    <mergeCell ref="A57:C57"/>
    <mergeCell ref="K57:N57"/>
    <mergeCell ref="O57:P57"/>
    <mergeCell ref="R57:T57"/>
    <mergeCell ref="W57:AB57"/>
    <mergeCell ref="AD57:AJ57"/>
    <mergeCell ref="A56:C56"/>
    <mergeCell ref="K56:N56"/>
    <mergeCell ref="O56:P56"/>
    <mergeCell ref="R56:T56"/>
    <mergeCell ref="W56:AB56"/>
    <mergeCell ref="AD56:AJ56"/>
    <mergeCell ref="A58:C58"/>
    <mergeCell ref="K58:N58"/>
    <mergeCell ref="O58:P58"/>
    <mergeCell ref="R58:T58"/>
    <mergeCell ref="W58:AB58"/>
    <mergeCell ref="AD58:AJ58"/>
    <mergeCell ref="A60:C60"/>
    <mergeCell ref="K60:N60"/>
    <mergeCell ref="O60:P60"/>
    <mergeCell ref="R60:T60"/>
    <mergeCell ref="W60:AB60"/>
    <mergeCell ref="AD60:AJ60"/>
    <mergeCell ref="A59:C59"/>
    <mergeCell ref="K59:N59"/>
    <mergeCell ref="O59:P59"/>
    <mergeCell ref="R59:T59"/>
    <mergeCell ref="W59:AB59"/>
    <mergeCell ref="AD59:AJ59"/>
    <mergeCell ref="A62:C62"/>
    <mergeCell ref="K62:N62"/>
    <mergeCell ref="O62:P62"/>
    <mergeCell ref="R62:T62"/>
    <mergeCell ref="W62:AB62"/>
    <mergeCell ref="AD62:AJ62"/>
    <mergeCell ref="A61:C61"/>
    <mergeCell ref="K61:N61"/>
    <mergeCell ref="O61:P61"/>
    <mergeCell ref="R61:T61"/>
    <mergeCell ref="W61:AB61"/>
    <mergeCell ref="AD61:AJ61"/>
    <mergeCell ref="A64:C64"/>
    <mergeCell ref="K64:N64"/>
    <mergeCell ref="O64:P64"/>
    <mergeCell ref="R64:T64"/>
    <mergeCell ref="W64:AB64"/>
    <mergeCell ref="AD64:AJ64"/>
    <mergeCell ref="A63:C63"/>
    <mergeCell ref="K63:N63"/>
    <mergeCell ref="O63:P63"/>
    <mergeCell ref="R63:T63"/>
    <mergeCell ref="W63:AB63"/>
    <mergeCell ref="AD63:AJ63"/>
    <mergeCell ref="A66:C66"/>
    <mergeCell ref="K66:N66"/>
    <mergeCell ref="O66:P66"/>
    <mergeCell ref="R66:T66"/>
    <mergeCell ref="W66:AB66"/>
    <mergeCell ref="AD66:AJ66"/>
    <mergeCell ref="A65:C65"/>
    <mergeCell ref="K65:N65"/>
    <mergeCell ref="O65:P65"/>
    <mergeCell ref="R65:T65"/>
    <mergeCell ref="W65:AB65"/>
    <mergeCell ref="AD65:AJ65"/>
    <mergeCell ref="A68:C68"/>
    <mergeCell ref="K68:N68"/>
    <mergeCell ref="O68:P68"/>
    <mergeCell ref="R68:T68"/>
    <mergeCell ref="W68:AB68"/>
    <mergeCell ref="AD68:AJ68"/>
    <mergeCell ref="A67:C67"/>
    <mergeCell ref="K67:N67"/>
    <mergeCell ref="O67:P67"/>
    <mergeCell ref="R67:T67"/>
    <mergeCell ref="W67:AB67"/>
    <mergeCell ref="AD67:AJ67"/>
    <mergeCell ref="A69:C69"/>
    <mergeCell ref="K69:N69"/>
    <mergeCell ref="O69:P69"/>
    <mergeCell ref="R69:T69"/>
    <mergeCell ref="W69:AB69"/>
    <mergeCell ref="AD69:AJ69"/>
    <mergeCell ref="A72:C72"/>
    <mergeCell ref="K72:N72"/>
    <mergeCell ref="O72:P72"/>
    <mergeCell ref="R72:T72"/>
    <mergeCell ref="W72:AB72"/>
    <mergeCell ref="AD72:AJ72"/>
    <mergeCell ref="A70:C70"/>
    <mergeCell ref="K70:N70"/>
    <mergeCell ref="O70:P70"/>
    <mergeCell ref="R70:T70"/>
    <mergeCell ref="W70:AB70"/>
    <mergeCell ref="AD70:AJ70"/>
    <mergeCell ref="A71:C71"/>
    <mergeCell ref="K71:N71"/>
    <mergeCell ref="O71:P71"/>
    <mergeCell ref="R71:T71"/>
    <mergeCell ref="W71:AB71"/>
    <mergeCell ref="AD71:AJ71"/>
    <mergeCell ref="A74:C74"/>
    <mergeCell ref="K74:N74"/>
    <mergeCell ref="O74:P74"/>
    <mergeCell ref="R74:T74"/>
    <mergeCell ref="W74:AB74"/>
    <mergeCell ref="AD74:AJ74"/>
    <mergeCell ref="A73:C73"/>
    <mergeCell ref="K73:N73"/>
    <mergeCell ref="O73:P73"/>
    <mergeCell ref="R73:T73"/>
    <mergeCell ref="W73:AB73"/>
    <mergeCell ref="AD73:AJ73"/>
    <mergeCell ref="A75:C75"/>
    <mergeCell ref="K75:N75"/>
    <mergeCell ref="O75:P75"/>
    <mergeCell ref="R75:T75"/>
    <mergeCell ref="W75:AB75"/>
    <mergeCell ref="AD75:AJ75"/>
    <mergeCell ref="A76:C76"/>
    <mergeCell ref="K76:N76"/>
    <mergeCell ref="O76:P76"/>
    <mergeCell ref="R76:T76"/>
    <mergeCell ref="W76:AB76"/>
    <mergeCell ref="AD76:AJ76"/>
    <mergeCell ref="A79:C79"/>
    <mergeCell ref="K79:N79"/>
    <mergeCell ref="O79:P79"/>
    <mergeCell ref="R79:T79"/>
    <mergeCell ref="W79:AB79"/>
    <mergeCell ref="AD79:AJ79"/>
    <mergeCell ref="A77:C77"/>
    <mergeCell ref="K77:N77"/>
    <mergeCell ref="O77:P77"/>
    <mergeCell ref="R77:T77"/>
    <mergeCell ref="W77:AB77"/>
    <mergeCell ref="AD77:AJ77"/>
    <mergeCell ref="A78:C78"/>
    <mergeCell ref="K78:N78"/>
    <mergeCell ref="O78:P78"/>
    <mergeCell ref="R78:T78"/>
    <mergeCell ref="W78:AB78"/>
    <mergeCell ref="AD78:AJ78"/>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I14"/>
  <sheetViews>
    <sheetView zoomScaleNormal="100" workbookViewId="0">
      <selection sqref="A1:XFD1048576"/>
    </sheetView>
  </sheetViews>
  <sheetFormatPr defaultRowHeight="15" x14ac:dyDescent="0.25"/>
  <cols>
    <col min="1" max="1" width="51.140625" bestFit="1" customWidth="1"/>
    <col min="2" max="2" width="14" customWidth="1"/>
    <col min="3" max="3" width="12.28515625" customWidth="1"/>
    <col min="4" max="4" width="13" customWidth="1"/>
    <col min="7" max="7" width="20.5703125" customWidth="1"/>
    <col min="8" max="8" width="13.85546875" customWidth="1"/>
    <col min="9" max="9" width="4.5703125" customWidth="1"/>
  </cols>
  <sheetData>
    <row r="1" spans="1:9" x14ac:dyDescent="0.25">
      <c r="A1" s="1"/>
    </row>
    <row r="2" spans="1:9" x14ac:dyDescent="0.25">
      <c r="A2" s="1"/>
    </row>
    <row r="3" spans="1:9" ht="15.75" thickBot="1" x14ac:dyDescent="0.3">
      <c r="A3" s="9"/>
      <c r="B3" s="9" t="s">
        <v>84</v>
      </c>
      <c r="C3" s="9"/>
      <c r="D3" s="9"/>
      <c r="E3" s="9"/>
      <c r="F3" s="9"/>
      <c r="G3" s="9"/>
      <c r="H3" s="9" t="s">
        <v>85</v>
      </c>
      <c r="I3" s="9"/>
    </row>
    <row r="4" spans="1:9" x14ac:dyDescent="0.25">
      <c r="A4" s="2"/>
    </row>
    <row r="5" spans="1:9" x14ac:dyDescent="0.25">
      <c r="A5" s="3" t="s">
        <v>78</v>
      </c>
      <c r="H5" s="97">
        <v>8.8189000000000003E-2</v>
      </c>
    </row>
    <row r="6" spans="1:9" x14ac:dyDescent="0.25">
      <c r="A6" s="3" t="s">
        <v>79</v>
      </c>
      <c r="H6" s="97">
        <v>0.10087699999999999</v>
      </c>
    </row>
    <row r="7" spans="1:9" x14ac:dyDescent="0.25">
      <c r="A7" s="3" t="s">
        <v>80</v>
      </c>
      <c r="B7" s="12"/>
      <c r="C7" s="6"/>
      <c r="D7" s="6"/>
      <c r="H7" s="97">
        <v>0.14380699999999999</v>
      </c>
    </row>
    <row r="8" spans="1:9" x14ac:dyDescent="0.25">
      <c r="A8" s="146" t="s">
        <v>3071</v>
      </c>
      <c r="B8" s="12"/>
      <c r="C8" s="6"/>
      <c r="D8" s="6"/>
      <c r="H8" s="97">
        <v>0.1</v>
      </c>
    </row>
    <row r="9" spans="1:9" x14ac:dyDescent="0.25">
      <c r="A9" s="3" t="s">
        <v>81</v>
      </c>
      <c r="H9" s="97">
        <v>0.2</v>
      </c>
    </row>
    <row r="10" spans="1:9" x14ac:dyDescent="0.25">
      <c r="A10" s="146"/>
      <c r="H10" s="97"/>
    </row>
    <row r="11" spans="1:9" x14ac:dyDescent="0.25">
      <c r="A11" s="17"/>
      <c r="H11" s="97"/>
    </row>
    <row r="12" spans="1:9" x14ac:dyDescent="0.25">
      <c r="A12" s="3" t="s">
        <v>82</v>
      </c>
      <c r="H12" s="97"/>
    </row>
    <row r="13" spans="1:9" ht="15.75" customHeight="1" x14ac:dyDescent="0.25">
      <c r="A13" s="96" t="s">
        <v>86</v>
      </c>
      <c r="B13" s="96"/>
      <c r="C13" s="96"/>
      <c r="D13" s="96"/>
      <c r="E13" s="96"/>
      <c r="F13" s="96"/>
      <c r="G13" s="96"/>
      <c r="H13" s="98"/>
      <c r="I13" s="96"/>
    </row>
    <row r="14" spans="1:9" x14ac:dyDescent="0.25">
      <c r="A14" s="3" t="s">
        <v>83</v>
      </c>
    </row>
  </sheetData>
  <pageMargins left="0.511811024" right="0.511811024" top="0.78740157499999996" bottom="0.78740157499999996" header="0.31496062000000002" footer="0.31496062000000002"/>
  <pageSetup paperSize="9" scale="9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H12"/>
  <sheetViews>
    <sheetView workbookViewId="0">
      <selection sqref="A1:H7"/>
    </sheetView>
  </sheetViews>
  <sheetFormatPr defaultRowHeight="15" x14ac:dyDescent="0.25"/>
  <cols>
    <col min="1" max="1" width="17.140625" customWidth="1"/>
    <col min="2" max="2" width="11.42578125" customWidth="1"/>
    <col min="3" max="3" width="12.28515625" customWidth="1"/>
    <col min="4" max="4" width="13" customWidth="1"/>
    <col min="5" max="5" width="11.140625" customWidth="1"/>
    <col min="6" max="6" width="11.85546875" customWidth="1"/>
    <col min="7" max="7" width="22.28515625" customWidth="1"/>
    <col min="8" max="8" width="13.85546875" customWidth="1"/>
  </cols>
  <sheetData>
    <row r="1" spans="1:8" x14ac:dyDescent="0.25">
      <c r="A1" s="1"/>
    </row>
    <row r="2" spans="1:8" x14ac:dyDescent="0.25">
      <c r="A2" s="1"/>
    </row>
    <row r="3" spans="1:8" ht="39.75" customHeight="1" thickBot="1" x14ac:dyDescent="0.3">
      <c r="A3" s="22" t="s">
        <v>87</v>
      </c>
      <c r="B3" s="22" t="s">
        <v>88</v>
      </c>
      <c r="C3" s="22" t="s">
        <v>89</v>
      </c>
      <c r="D3" s="22" t="s">
        <v>90</v>
      </c>
      <c r="E3" s="22" t="s">
        <v>91</v>
      </c>
      <c r="F3" s="22" t="s">
        <v>92</v>
      </c>
      <c r="G3" s="22" t="s">
        <v>93</v>
      </c>
      <c r="H3" s="22" t="s">
        <v>94</v>
      </c>
    </row>
    <row r="4" spans="1:8" ht="36" customHeight="1" x14ac:dyDescent="0.25">
      <c r="A4" s="23" t="s">
        <v>95</v>
      </c>
      <c r="B4">
        <v>8.7799999999999994</v>
      </c>
      <c r="C4" s="12" t="s">
        <v>98</v>
      </c>
      <c r="D4" s="12" t="s">
        <v>100</v>
      </c>
      <c r="E4" s="24">
        <v>1</v>
      </c>
      <c r="F4">
        <v>8.7799999999999994</v>
      </c>
      <c r="G4" t="s">
        <v>102</v>
      </c>
      <c r="H4" t="s">
        <v>104</v>
      </c>
    </row>
    <row r="5" spans="1:8" ht="28.5" customHeight="1" x14ac:dyDescent="0.25">
      <c r="A5" s="23" t="s">
        <v>96</v>
      </c>
      <c r="B5">
        <v>192</v>
      </c>
      <c r="C5" s="12" t="s">
        <v>99</v>
      </c>
      <c r="D5" s="12" t="s">
        <v>100</v>
      </c>
      <c r="E5" s="24">
        <v>0.2</v>
      </c>
      <c r="F5">
        <v>38.380000000000003</v>
      </c>
      <c r="G5" s="19" t="s">
        <v>103</v>
      </c>
      <c r="H5" t="s">
        <v>104</v>
      </c>
    </row>
    <row r="6" spans="1:8" ht="26.25" customHeight="1" x14ac:dyDescent="0.25">
      <c r="A6" s="23" t="s">
        <v>97</v>
      </c>
      <c r="B6">
        <v>7.8</v>
      </c>
      <c r="C6" s="12" t="s">
        <v>99</v>
      </c>
      <c r="D6" s="12" t="s">
        <v>101</v>
      </c>
      <c r="E6" s="24">
        <v>1</v>
      </c>
      <c r="F6">
        <v>7.8</v>
      </c>
      <c r="G6" t="s">
        <v>102</v>
      </c>
      <c r="H6" t="s">
        <v>104</v>
      </c>
    </row>
    <row r="7" spans="1:8" ht="15.75" thickBot="1" x14ac:dyDescent="0.3">
      <c r="A7" s="3"/>
      <c r="B7" s="25">
        <f>SUM(B4:B6)</f>
        <v>208.58</v>
      </c>
      <c r="C7" s="6"/>
      <c r="D7" s="6"/>
      <c r="F7" s="25">
        <f>SUM(F4:F6)</f>
        <v>54.96</v>
      </c>
    </row>
    <row r="8" spans="1:8" x14ac:dyDescent="0.25">
      <c r="A8" s="3"/>
    </row>
    <row r="9" spans="1:8" x14ac:dyDescent="0.25">
      <c r="A9" s="3"/>
    </row>
    <row r="10" spans="1:8" x14ac:dyDescent="0.25">
      <c r="A10" s="3"/>
    </row>
    <row r="11" spans="1:8" ht="15.75" customHeight="1" x14ac:dyDescent="0.25">
      <c r="A11" s="20"/>
      <c r="B11" s="20"/>
      <c r="C11" s="20"/>
      <c r="D11" s="20"/>
      <c r="E11" s="20"/>
      <c r="F11" s="20"/>
      <c r="G11" s="20"/>
      <c r="H11" s="20"/>
    </row>
    <row r="12" spans="1:8" x14ac:dyDescent="0.25">
      <c r="A12" s="3"/>
    </row>
  </sheetData>
  <pageMargins left="0.511811024" right="0.511811024" top="0.78740157499999996" bottom="0.78740157499999996" header="0.31496062000000002" footer="0.3149606200000000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C15"/>
  <sheetViews>
    <sheetView zoomScaleNormal="100" workbookViewId="0">
      <selection sqref="A1:C15"/>
    </sheetView>
  </sheetViews>
  <sheetFormatPr defaultRowHeight="15" x14ac:dyDescent="0.25"/>
  <cols>
    <col min="1" max="1" width="51.140625" bestFit="1" customWidth="1"/>
    <col min="2" max="2" width="12.28515625" customWidth="1"/>
    <col min="3" max="3" width="13"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108</v>
      </c>
    </row>
    <row r="6" spans="1:3" x14ac:dyDescent="0.25">
      <c r="A6" s="2"/>
    </row>
    <row r="7" spans="1:3" ht="15.75" thickBot="1" x14ac:dyDescent="0.3">
      <c r="A7" s="3" t="s">
        <v>3</v>
      </c>
      <c r="B7" s="9">
        <v>2020</v>
      </c>
      <c r="C7" s="9">
        <v>2019</v>
      </c>
    </row>
    <row r="8" spans="1:3" x14ac:dyDescent="0.25">
      <c r="A8" s="3"/>
      <c r="B8" s="11"/>
      <c r="C8" s="10"/>
    </row>
    <row r="9" spans="1:3" x14ac:dyDescent="0.25">
      <c r="A9" s="3" t="s">
        <v>106</v>
      </c>
      <c r="B9" s="6">
        <f>SUM('BALANCETE 12-2020'!G5)/1000</f>
        <v>48.095500000000001</v>
      </c>
      <c r="C9" s="6">
        <v>197.72816</v>
      </c>
    </row>
    <row r="10" spans="1:3" ht="15.75" thickBot="1" x14ac:dyDescent="0.3">
      <c r="A10" s="4" t="s">
        <v>107</v>
      </c>
      <c r="B10" s="13">
        <f>SUM('BALANCETE 12-2020'!G26)/1000</f>
        <v>231720.02992</v>
      </c>
      <c r="C10" s="13">
        <v>193002.02878999998</v>
      </c>
    </row>
    <row r="11" spans="1:3" ht="15.75" thickBot="1" x14ac:dyDescent="0.3">
      <c r="A11" s="3" t="s">
        <v>3</v>
      </c>
      <c r="B11" s="13">
        <f>SUM(B9:B10)</f>
        <v>231768.12542</v>
      </c>
      <c r="C11" s="13">
        <v>193199.75694999998</v>
      </c>
    </row>
    <row r="12" spans="1:3" x14ac:dyDescent="0.25">
      <c r="A12" s="3" t="s">
        <v>3</v>
      </c>
      <c r="B12" s="6"/>
      <c r="C12" s="6"/>
    </row>
    <row r="15" spans="1:3" x14ac:dyDescent="0.25">
      <c r="A15" s="99" t="s">
        <v>2176</v>
      </c>
      <c r="B15" s="5" t="e">
        <f>SUM(#REF!)</f>
        <v>#REF!</v>
      </c>
      <c r="C15" s="5" t="e">
        <f>SUM(#REF!)</f>
        <v>#REF!</v>
      </c>
    </row>
  </sheetData>
  <pageMargins left="0.511811024" right="0.511811024" top="0.78740157499999996" bottom="0.78740157499999996" header="0.31496062000000002" footer="0.31496062000000002"/>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M62"/>
  <sheetViews>
    <sheetView zoomScaleNormal="100" workbookViewId="0">
      <selection sqref="A1:C62"/>
    </sheetView>
  </sheetViews>
  <sheetFormatPr defaultRowHeight="15" x14ac:dyDescent="0.25"/>
  <cols>
    <col min="1" max="1" width="56.140625" customWidth="1"/>
    <col min="2" max="2" width="14" customWidth="1"/>
    <col min="3" max="3" width="12.28515625" customWidth="1"/>
    <col min="4" max="4" width="10.85546875" customWidth="1"/>
    <col min="5" max="5" width="44" customWidth="1"/>
  </cols>
  <sheetData>
    <row r="1" spans="1:13" x14ac:dyDescent="0.25">
      <c r="A1" s="1" t="s">
        <v>105</v>
      </c>
    </row>
    <row r="2" spans="1:13" x14ac:dyDescent="0.25">
      <c r="A2" s="1" t="s">
        <v>2749</v>
      </c>
    </row>
    <row r="3" spans="1:13" x14ac:dyDescent="0.25">
      <c r="A3" s="1" t="s">
        <v>0</v>
      </c>
    </row>
    <row r="4" spans="1:13" x14ac:dyDescent="0.25">
      <c r="A4" s="2"/>
    </row>
    <row r="5" spans="1:13" x14ac:dyDescent="0.25">
      <c r="A5" s="27" t="s">
        <v>109</v>
      </c>
    </row>
    <row r="6" spans="1:13" x14ac:dyDescent="0.25">
      <c r="A6" s="2"/>
    </row>
    <row r="7" spans="1:13" ht="15.75" thickBot="1" x14ac:dyDescent="0.3">
      <c r="A7" s="2"/>
      <c r="B7" s="301">
        <v>2020</v>
      </c>
      <c r="C7" s="301">
        <v>2019</v>
      </c>
    </row>
    <row r="9" spans="1:13" s="115" customFormat="1" x14ac:dyDescent="0.25">
      <c r="A9" s="115" t="s">
        <v>3072</v>
      </c>
      <c r="B9" s="133">
        <f>4523178.27/1000</f>
        <v>4523.1782699999994</v>
      </c>
      <c r="C9" s="314" t="s">
        <v>4</v>
      </c>
    </row>
    <row r="10" spans="1:13" s="115" customFormat="1" x14ac:dyDescent="0.25">
      <c r="A10" s="112" t="s">
        <v>2357</v>
      </c>
      <c r="B10" s="15">
        <f>956188.8/1000</f>
        <v>956.18880000000001</v>
      </c>
      <c r="C10" s="15">
        <v>1032.7460000000001</v>
      </c>
      <c r="M10" s="116"/>
    </row>
    <row r="11" spans="1:13" s="115" customFormat="1" x14ac:dyDescent="0.25">
      <c r="A11" s="112" t="s">
        <v>112</v>
      </c>
      <c r="B11" s="113">
        <f>943659.29/1000</f>
        <v>943.65929000000006</v>
      </c>
      <c r="C11" s="111">
        <v>839.80627000000004</v>
      </c>
    </row>
    <row r="12" spans="1:13" s="115" customFormat="1" x14ac:dyDescent="0.25">
      <c r="A12" s="112" t="s">
        <v>2181</v>
      </c>
      <c r="B12" s="15">
        <f>893662.31/1000</f>
        <v>893.66231000000005</v>
      </c>
      <c r="C12" s="117" t="s">
        <v>4</v>
      </c>
    </row>
    <row r="13" spans="1:13" s="115" customFormat="1" x14ac:dyDescent="0.25">
      <c r="A13" s="112" t="s">
        <v>3073</v>
      </c>
      <c r="B13" s="133">
        <f>715446.77/1000</f>
        <v>715.44677000000001</v>
      </c>
      <c r="C13" s="314" t="s">
        <v>4</v>
      </c>
    </row>
    <row r="14" spans="1:13" s="115" customFormat="1" x14ac:dyDescent="0.25">
      <c r="A14" s="112" t="s">
        <v>3074</v>
      </c>
      <c r="B14" s="133">
        <f>697411.84/1000</f>
        <v>697.41183999999998</v>
      </c>
      <c r="C14" s="314" t="s">
        <v>4</v>
      </c>
    </row>
    <row r="15" spans="1:13" s="115" customFormat="1" x14ac:dyDescent="0.25">
      <c r="A15" s="112" t="s">
        <v>114</v>
      </c>
      <c r="B15" s="113">
        <f>573012.06/1000</f>
        <v>573.01206000000002</v>
      </c>
      <c r="C15" s="111">
        <v>539.52916000000005</v>
      </c>
    </row>
    <row r="16" spans="1:13" s="115" customFormat="1" x14ac:dyDescent="0.25">
      <c r="A16" s="112" t="s">
        <v>2180</v>
      </c>
      <c r="B16" s="15">
        <f>569835.2/1000</f>
        <v>569.83519999999999</v>
      </c>
      <c r="C16" s="15">
        <v>455.07014000000004</v>
      </c>
    </row>
    <row r="17" spans="1:3" s="115" customFormat="1" x14ac:dyDescent="0.25">
      <c r="A17" s="112" t="s">
        <v>122</v>
      </c>
      <c r="B17" s="113">
        <f>509134.61/1000</f>
        <v>509.13461000000001</v>
      </c>
      <c r="C17" s="111">
        <v>453.89684</v>
      </c>
    </row>
    <row r="18" spans="1:3" s="115" customFormat="1" x14ac:dyDescent="0.25">
      <c r="A18" s="112" t="s">
        <v>115</v>
      </c>
      <c r="B18" s="113">
        <f>483935.75/1000</f>
        <v>483.93574999999998</v>
      </c>
      <c r="C18" s="111">
        <v>498.79642999999999</v>
      </c>
    </row>
    <row r="19" spans="1:3" s="115" customFormat="1" x14ac:dyDescent="0.25">
      <c r="A19" s="112" t="s">
        <v>3075</v>
      </c>
      <c r="B19" s="113">
        <f>472088.09/1000</f>
        <v>472.08809000000002</v>
      </c>
      <c r="C19" s="321" t="s">
        <v>4</v>
      </c>
    </row>
    <row r="20" spans="1:3" s="115" customFormat="1" x14ac:dyDescent="0.25">
      <c r="A20" s="112" t="s">
        <v>116</v>
      </c>
      <c r="B20" s="113">
        <f>458272.02/1000</f>
        <v>458.27202</v>
      </c>
      <c r="C20" s="111">
        <v>617.59570999999994</v>
      </c>
    </row>
    <row r="21" spans="1:3" s="115" customFormat="1" x14ac:dyDescent="0.25">
      <c r="A21" s="112" t="s">
        <v>118</v>
      </c>
      <c r="B21" s="113">
        <f>411943/1000</f>
        <v>411.94299999999998</v>
      </c>
      <c r="C21" s="111">
        <v>399.15541999999999</v>
      </c>
    </row>
    <row r="22" spans="1:3" s="115" customFormat="1" x14ac:dyDescent="0.25">
      <c r="A22" s="112" t="s">
        <v>2179</v>
      </c>
      <c r="B22" s="15">
        <f>373601.81/1000</f>
        <v>373.60181</v>
      </c>
      <c r="C22" s="15">
        <v>307.44126</v>
      </c>
    </row>
    <row r="23" spans="1:3" s="115" customFormat="1" x14ac:dyDescent="0.25">
      <c r="A23" s="112" t="s">
        <v>117</v>
      </c>
      <c r="B23" s="113">
        <f>372784.23/1000</f>
        <v>372.78422999999998</v>
      </c>
      <c r="C23" s="111">
        <v>361.37971999999996</v>
      </c>
    </row>
    <row r="24" spans="1:3" s="115" customFormat="1" x14ac:dyDescent="0.25">
      <c r="A24" s="112" t="s">
        <v>110</v>
      </c>
      <c r="B24" s="113">
        <f>350620.56/1000</f>
        <v>350.62056000000001</v>
      </c>
      <c r="C24" s="114" t="s">
        <v>4</v>
      </c>
    </row>
    <row r="25" spans="1:3" s="115" customFormat="1" x14ac:dyDescent="0.25">
      <c r="A25" s="112" t="s">
        <v>119</v>
      </c>
      <c r="B25" s="113">
        <f>290195.11/1000</f>
        <v>290.19511</v>
      </c>
      <c r="C25" s="111">
        <v>280.51382000000001</v>
      </c>
    </row>
    <row r="26" spans="1:3" s="115" customFormat="1" x14ac:dyDescent="0.25">
      <c r="A26" s="112" t="s">
        <v>3076</v>
      </c>
      <c r="B26" s="133">
        <f>SUM(287287.86/1000)</f>
        <v>287.28785999999997</v>
      </c>
      <c r="C26" s="314" t="s">
        <v>4</v>
      </c>
    </row>
    <row r="27" spans="1:3" s="115" customFormat="1" x14ac:dyDescent="0.25">
      <c r="A27" s="112" t="s">
        <v>120</v>
      </c>
      <c r="B27" s="113">
        <f>264141.59/1000</f>
        <v>264.14159000000001</v>
      </c>
      <c r="C27" s="111">
        <v>300.28472999999997</v>
      </c>
    </row>
    <row r="28" spans="1:3" s="115" customFormat="1" x14ac:dyDescent="0.25">
      <c r="A28" s="112" t="s">
        <v>3078</v>
      </c>
      <c r="B28" s="113">
        <f>262132.76/1000</f>
        <v>262.13276000000002</v>
      </c>
      <c r="C28" s="111">
        <v>193.89014</v>
      </c>
    </row>
    <row r="29" spans="1:3" s="115" customFormat="1" x14ac:dyDescent="0.25">
      <c r="A29" s="112" t="s">
        <v>3077</v>
      </c>
      <c r="B29" s="133">
        <f>238121.31/1000</f>
        <v>238.12130999999999</v>
      </c>
      <c r="C29" s="314" t="s">
        <v>4</v>
      </c>
    </row>
    <row r="30" spans="1:3" s="115" customFormat="1" x14ac:dyDescent="0.25">
      <c r="A30" s="112" t="s">
        <v>123</v>
      </c>
      <c r="B30" s="113">
        <f>231575.59/1000-1</f>
        <v>230.57559000000001</v>
      </c>
      <c r="C30" s="111">
        <v>225.16557</v>
      </c>
    </row>
    <row r="31" spans="1:3" s="115" customFormat="1" x14ac:dyDescent="0.25">
      <c r="A31" s="112" t="s">
        <v>3079</v>
      </c>
      <c r="B31" s="113">
        <f>192957.43/1000</f>
        <v>192.95742999999999</v>
      </c>
      <c r="C31" s="111">
        <v>196.17294000000001</v>
      </c>
    </row>
    <row r="32" spans="1:3" s="115" customFormat="1" x14ac:dyDescent="0.25">
      <c r="A32" s="112" t="s">
        <v>3080</v>
      </c>
      <c r="B32" s="133">
        <f>192025.87/1000</f>
        <v>192.02587</v>
      </c>
      <c r="C32" s="314" t="s">
        <v>4</v>
      </c>
    </row>
    <row r="33" spans="1:3" s="115" customFormat="1" x14ac:dyDescent="0.25">
      <c r="A33" s="112" t="s">
        <v>121</v>
      </c>
      <c r="B33" s="113">
        <f>180618.11/1000</f>
        <v>180.61810999999997</v>
      </c>
      <c r="C33" s="111">
        <v>148.19603000000001</v>
      </c>
    </row>
    <row r="34" spans="1:3" s="115" customFormat="1" x14ac:dyDescent="0.25">
      <c r="A34" s="112" t="s">
        <v>125</v>
      </c>
      <c r="B34" s="113">
        <f>154558.42/1000-1</f>
        <v>153.55842000000001</v>
      </c>
      <c r="C34" s="111">
        <v>153.77470000000002</v>
      </c>
    </row>
    <row r="35" spans="1:3" s="115" customFormat="1" x14ac:dyDescent="0.25">
      <c r="A35" s="112" t="s">
        <v>132</v>
      </c>
      <c r="B35" s="113">
        <f>148375.96/1000</f>
        <v>148.37595999999999</v>
      </c>
      <c r="C35" s="111">
        <v>162.50310000000002</v>
      </c>
    </row>
    <row r="36" spans="1:3" s="115" customFormat="1" x14ac:dyDescent="0.25">
      <c r="A36" s="112" t="s">
        <v>130</v>
      </c>
      <c r="B36" s="113">
        <f>130606.77/1000</f>
        <v>130.60677000000001</v>
      </c>
      <c r="C36" s="111">
        <v>128.88298</v>
      </c>
    </row>
    <row r="37" spans="1:3" s="115" customFormat="1" x14ac:dyDescent="0.25">
      <c r="A37" s="112" t="s">
        <v>3081</v>
      </c>
      <c r="B37" s="15">
        <f>128797.11/1000</f>
        <v>128.79711</v>
      </c>
      <c r="C37" s="15">
        <v>78.653929999999988</v>
      </c>
    </row>
    <row r="38" spans="1:3" s="115" customFormat="1" x14ac:dyDescent="0.25">
      <c r="A38" s="112" t="s">
        <v>2565</v>
      </c>
      <c r="B38" s="15">
        <f>120537.65/1000</f>
        <v>120.53765</v>
      </c>
      <c r="C38" s="15">
        <v>110.49025999999999</v>
      </c>
    </row>
    <row r="39" spans="1:3" s="115" customFormat="1" x14ac:dyDescent="0.25">
      <c r="A39" s="112" t="s">
        <v>126</v>
      </c>
      <c r="B39" s="113">
        <f>105675.65/1000</f>
        <v>105.67564999999999</v>
      </c>
      <c r="C39" s="111">
        <v>113.59161</v>
      </c>
    </row>
    <row r="40" spans="1:3" s="115" customFormat="1" x14ac:dyDescent="0.25">
      <c r="A40" s="112" t="s">
        <v>131</v>
      </c>
      <c r="B40" s="113">
        <f>102264.05/1000</f>
        <v>102.26405</v>
      </c>
      <c r="C40" s="111">
        <v>99.12227</v>
      </c>
    </row>
    <row r="41" spans="1:3" s="115" customFormat="1" x14ac:dyDescent="0.25">
      <c r="A41" s="112" t="s">
        <v>3082</v>
      </c>
      <c r="B41" s="133">
        <f>94335.21/1000</f>
        <v>94.335210000000004</v>
      </c>
      <c r="C41" s="314" t="s">
        <v>4</v>
      </c>
    </row>
    <row r="42" spans="1:3" s="115" customFormat="1" x14ac:dyDescent="0.25">
      <c r="A42" s="112" t="s">
        <v>133</v>
      </c>
      <c r="B42" s="113">
        <f>85535.21/1000</f>
        <v>85.535210000000006</v>
      </c>
      <c r="C42" s="111">
        <v>89.916749999999993</v>
      </c>
    </row>
    <row r="43" spans="1:3" s="115" customFormat="1" x14ac:dyDescent="0.25">
      <c r="A43" s="112" t="s">
        <v>134</v>
      </c>
      <c r="B43" s="113">
        <f>68600.41/1000</f>
        <v>68.600409999999997</v>
      </c>
      <c r="C43" s="111">
        <v>82.393990000000002</v>
      </c>
    </row>
    <row r="44" spans="1:3" s="115" customFormat="1" x14ac:dyDescent="0.25">
      <c r="A44" s="112" t="s">
        <v>135</v>
      </c>
      <c r="B44" s="113">
        <f>62506.48/1000-1</f>
        <v>61.506480000000003</v>
      </c>
      <c r="C44" s="111">
        <v>78.735119999999995</v>
      </c>
    </row>
    <row r="45" spans="1:3" s="115" customFormat="1" x14ac:dyDescent="0.25">
      <c r="A45" s="112" t="s">
        <v>3083</v>
      </c>
      <c r="B45" s="113">
        <f>43579.33/1000-1</f>
        <v>42.579329999999999</v>
      </c>
      <c r="C45" s="111">
        <v>39.175849999999997</v>
      </c>
    </row>
    <row r="46" spans="1:3" s="115" customFormat="1" x14ac:dyDescent="0.25">
      <c r="A46" s="112" t="s">
        <v>128</v>
      </c>
      <c r="B46" s="113">
        <f>33056.51/1000</f>
        <v>33.056510000000003</v>
      </c>
      <c r="C46" s="111">
        <v>33.311269999999993</v>
      </c>
    </row>
    <row r="47" spans="1:3" s="115" customFormat="1" x14ac:dyDescent="0.25">
      <c r="A47" s="112" t="s">
        <v>3084</v>
      </c>
      <c r="B47" s="133">
        <f>17886.42/1000</f>
        <v>17.886419999999998</v>
      </c>
      <c r="C47" s="314" t="s">
        <v>4</v>
      </c>
    </row>
    <row r="48" spans="1:3" s="115" customFormat="1" x14ac:dyDescent="0.25">
      <c r="A48" s="112" t="s">
        <v>2356</v>
      </c>
      <c r="B48" s="15">
        <f>14816.42/1000</f>
        <v>14.816420000000001</v>
      </c>
      <c r="C48" s="15">
        <v>15.146840000000001</v>
      </c>
    </row>
    <row r="49" spans="1:8" s="115" customFormat="1" x14ac:dyDescent="0.25">
      <c r="A49" s="112" t="s">
        <v>137</v>
      </c>
      <c r="B49" s="113">
        <f>9521.57/1000</f>
        <v>9.5215700000000005</v>
      </c>
      <c r="C49" s="111">
        <v>10.02558</v>
      </c>
    </row>
    <row r="50" spans="1:8" s="115" customFormat="1" x14ac:dyDescent="0.25">
      <c r="A50" s="112" t="s">
        <v>129</v>
      </c>
      <c r="B50" s="113" t="s">
        <v>4</v>
      </c>
      <c r="C50" s="111">
        <v>1087.0349700000002</v>
      </c>
    </row>
    <row r="51" spans="1:8" s="115" customFormat="1" x14ac:dyDescent="0.25">
      <c r="A51" s="112" t="s">
        <v>111</v>
      </c>
      <c r="B51" s="113" t="s">
        <v>4</v>
      </c>
      <c r="C51" s="111">
        <v>1054.6248799999998</v>
      </c>
    </row>
    <row r="52" spans="1:8" s="115" customFormat="1" x14ac:dyDescent="0.25">
      <c r="A52" s="112" t="s">
        <v>2566</v>
      </c>
      <c r="B52" s="15" t="s">
        <v>4</v>
      </c>
      <c r="C52" s="15">
        <v>676.29600000000005</v>
      </c>
    </row>
    <row r="53" spans="1:8" s="115" customFormat="1" x14ac:dyDescent="0.25">
      <c r="A53" s="112" t="s">
        <v>113</v>
      </c>
      <c r="B53" s="15" t="s">
        <v>4</v>
      </c>
      <c r="C53" s="111">
        <v>655.7085699999999</v>
      </c>
    </row>
    <row r="54" spans="1:8" s="115" customFormat="1" x14ac:dyDescent="0.25">
      <c r="A54" s="112" t="s">
        <v>124</v>
      </c>
      <c r="B54" s="15" t="s">
        <v>4</v>
      </c>
      <c r="C54" s="111">
        <v>300.75215999999995</v>
      </c>
    </row>
    <row r="55" spans="1:8" s="115" customFormat="1" x14ac:dyDescent="0.25">
      <c r="A55" s="112" t="s">
        <v>2355</v>
      </c>
      <c r="B55" s="15" t="s">
        <v>4</v>
      </c>
      <c r="C55" s="15">
        <v>134.68631999999999</v>
      </c>
    </row>
    <row r="56" spans="1:8" s="115" customFormat="1" x14ac:dyDescent="0.25">
      <c r="A56" s="112" t="s">
        <v>127</v>
      </c>
      <c r="B56" s="15" t="s">
        <v>4</v>
      </c>
      <c r="C56" s="111">
        <v>132.90040999999999</v>
      </c>
    </row>
    <row r="57" spans="1:8" x14ac:dyDescent="0.25">
      <c r="A57" s="112" t="s">
        <v>136</v>
      </c>
      <c r="B57" s="15" t="s">
        <v>4</v>
      </c>
      <c r="C57" s="111">
        <v>27.58175</v>
      </c>
    </row>
    <row r="58" spans="1:8" x14ac:dyDescent="0.25">
      <c r="A58" s="112" t="s">
        <v>138</v>
      </c>
      <c r="B58" s="147" t="s">
        <v>4</v>
      </c>
      <c r="C58" s="162">
        <v>0.73938000000000004</v>
      </c>
    </row>
    <row r="59" spans="1:8" x14ac:dyDescent="0.25">
      <c r="B59" s="5">
        <f>SUM(B9:B58)+4</f>
        <v>16764.48340999999</v>
      </c>
      <c r="C59" s="5">
        <f>SUM(C9:C58)+2</f>
        <v>12117.688870000004</v>
      </c>
    </row>
    <row r="62" spans="1:8" x14ac:dyDescent="0.25">
      <c r="A62" t="s">
        <v>2178</v>
      </c>
      <c r="B62" s="5" t="e">
        <f>SUM(#REF!)</f>
        <v>#REF!</v>
      </c>
      <c r="C62" s="5" t="e">
        <f>#REF!</f>
        <v>#REF!</v>
      </c>
      <c r="E62" s="100" t="s">
        <v>2177</v>
      </c>
      <c r="F62" s="100"/>
      <c r="G62" s="100"/>
      <c r="H62" s="100"/>
    </row>
  </sheetData>
  <pageMargins left="0.511811024" right="0.511811024" top="0.78740157499999996" bottom="0.78740157499999996" header="0.31496062000000002" footer="0.31496062000000002"/>
  <pageSetup paperSize="9" scale="5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I25"/>
  <sheetViews>
    <sheetView zoomScaleNormal="100" workbookViewId="0">
      <selection sqref="A1:XFD1048576"/>
    </sheetView>
  </sheetViews>
  <sheetFormatPr defaultRowHeight="15" x14ac:dyDescent="0.25"/>
  <cols>
    <col min="1" max="1" width="51.140625" bestFit="1" customWidth="1"/>
    <col min="2" max="2" width="12.28515625" customWidth="1"/>
    <col min="3" max="3" width="17.28515625"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139</v>
      </c>
    </row>
    <row r="6" spans="1:3" x14ac:dyDescent="0.25">
      <c r="A6" s="2"/>
    </row>
    <row r="7" spans="1:3" ht="15.75" thickBot="1" x14ac:dyDescent="0.3">
      <c r="A7" s="141" t="s">
        <v>3</v>
      </c>
      <c r="B7" s="137">
        <v>2020</v>
      </c>
      <c r="C7" s="137">
        <v>2019</v>
      </c>
    </row>
    <row r="8" spans="1:3" x14ac:dyDescent="0.25">
      <c r="A8" s="29" t="s">
        <v>1</v>
      </c>
      <c r="B8" s="11"/>
      <c r="C8" s="142" t="s">
        <v>3056</v>
      </c>
    </row>
    <row r="9" spans="1:3" x14ac:dyDescent="0.25">
      <c r="A9" s="29" t="s">
        <v>140</v>
      </c>
      <c r="B9" s="11"/>
      <c r="C9" s="142"/>
    </row>
    <row r="10" spans="1:3" x14ac:dyDescent="0.25">
      <c r="A10" s="146" t="s">
        <v>3085</v>
      </c>
      <c r="B10" s="7">
        <f>SUM('BALANCETE 12-2020'!G178)/1000</f>
        <v>49.648350000000001</v>
      </c>
      <c r="C10" s="7" t="e">
        <f>SUM(#REF!)/1000</f>
        <v>#REF!</v>
      </c>
    </row>
    <row r="11" spans="1:3" x14ac:dyDescent="0.25">
      <c r="A11" s="146" t="s">
        <v>3086</v>
      </c>
      <c r="B11" s="7">
        <f>SUM('BALANCETE 12-2020'!G191)/1000</f>
        <v>109.82241999999999</v>
      </c>
      <c r="C11" s="6" t="e">
        <f>SUM(#REF!)/1000</f>
        <v>#REF!</v>
      </c>
    </row>
    <row r="12" spans="1:3" x14ac:dyDescent="0.25">
      <c r="A12" s="146" t="s">
        <v>3087</v>
      </c>
      <c r="B12" s="6" t="s">
        <v>4</v>
      </c>
      <c r="C12" s="6" t="e">
        <f>SUM(#REF!)/1000-1</f>
        <v>#REF!</v>
      </c>
    </row>
    <row r="13" spans="1:3" x14ac:dyDescent="0.25">
      <c r="A13" s="146" t="s">
        <v>141</v>
      </c>
      <c r="B13" s="7">
        <f>SUM('BALANCETE 12-2020'!G198)/1000</f>
        <v>1249.86482</v>
      </c>
      <c r="C13" s="6" t="e">
        <f>SUM(#REF!)/1000</f>
        <v>#REF!</v>
      </c>
    </row>
    <row r="14" spans="1:3" x14ac:dyDescent="0.25">
      <c r="A14" s="146" t="s">
        <v>3088</v>
      </c>
      <c r="B14" s="324">
        <f>SUM('BALANCETE 12-2020'!G201)/1000-1</f>
        <v>29.667639999999999</v>
      </c>
      <c r="C14" s="323" t="e">
        <f>SUM(#REF!)/1000-1</f>
        <v>#REF!</v>
      </c>
    </row>
    <row r="15" spans="1:3" ht="15.75" thickBot="1" x14ac:dyDescent="0.3">
      <c r="A15" s="322"/>
      <c r="B15" s="325">
        <f>SUM(B10:B14)+1</f>
        <v>1440.0032299999998</v>
      </c>
      <c r="C15" s="325" t="e">
        <f>SUM(C10:C14)+1</f>
        <v>#REF!</v>
      </c>
    </row>
    <row r="16" spans="1:3" ht="15.75" thickTop="1" x14ac:dyDescent="0.25">
      <c r="A16" s="141" t="s">
        <v>3</v>
      </c>
      <c r="B16" s="6"/>
      <c r="C16" s="6"/>
    </row>
    <row r="17" spans="1:9" x14ac:dyDescent="0.25">
      <c r="A17" s="29" t="s">
        <v>142</v>
      </c>
      <c r="B17" s="6"/>
      <c r="C17" s="6"/>
    </row>
    <row r="18" spans="1:9" x14ac:dyDescent="0.25">
      <c r="A18" s="146" t="s">
        <v>3089</v>
      </c>
      <c r="B18" s="323" t="s">
        <v>4</v>
      </c>
      <c r="C18" s="323" t="e">
        <f>SUM(#REF!)/1000</f>
        <v>#REF!</v>
      </c>
    </row>
    <row r="19" spans="1:9" ht="15.75" thickBot="1" x14ac:dyDescent="0.3">
      <c r="A19" s="146"/>
      <c r="B19" s="326" t="s">
        <v>4</v>
      </c>
      <c r="C19" s="326" t="e">
        <f>SUM(C18)</f>
        <v>#REF!</v>
      </c>
    </row>
    <row r="20" spans="1:9" ht="15.75" thickTop="1" x14ac:dyDescent="0.25">
      <c r="A20" s="146"/>
      <c r="B20" s="6"/>
      <c r="C20" s="6"/>
    </row>
    <row r="21" spans="1:9" x14ac:dyDescent="0.25">
      <c r="A21" s="146"/>
      <c r="B21" s="6"/>
      <c r="C21" s="6"/>
    </row>
    <row r="22" spans="1:9" x14ac:dyDescent="0.25">
      <c r="B22" s="6"/>
      <c r="C22" s="6"/>
    </row>
    <row r="23" spans="1:9" x14ac:dyDescent="0.25">
      <c r="I23" s="5"/>
    </row>
    <row r="24" spans="1:9" x14ac:dyDescent="0.25">
      <c r="A24" t="s">
        <v>2182</v>
      </c>
      <c r="B24" s="5" t="e">
        <f>#REF!</f>
        <v>#REF!</v>
      </c>
      <c r="C24" s="5" t="e">
        <f>#REF!</f>
        <v>#REF!</v>
      </c>
    </row>
    <row r="25" spans="1:9" x14ac:dyDescent="0.25">
      <c r="A25" t="s">
        <v>2183</v>
      </c>
      <c r="B25" s="92" t="e">
        <f>#REF!</f>
        <v>#REF!</v>
      </c>
      <c r="C25" s="92" t="e">
        <f>SUM(#REF!)</f>
        <v>#REF!</v>
      </c>
    </row>
  </sheetData>
  <pageMargins left="0.511811024" right="0.511811024" top="0.78740157499999996" bottom="0.78740157499999996" header="0.31496062000000002" footer="0.31496062000000002"/>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C24"/>
  <sheetViews>
    <sheetView topLeftCell="A7" zoomScaleNormal="100" workbookViewId="0">
      <selection activeCell="H20" sqref="H20"/>
    </sheetView>
  </sheetViews>
  <sheetFormatPr defaultRowHeight="15" x14ac:dyDescent="0.25"/>
  <cols>
    <col min="1" max="1" width="51.140625" bestFit="1" customWidth="1"/>
    <col min="2" max="2" width="12.28515625" customWidth="1"/>
    <col min="3" max="3" width="13"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143</v>
      </c>
    </row>
    <row r="6" spans="1:3" x14ac:dyDescent="0.25">
      <c r="A6" s="2"/>
    </row>
    <row r="7" spans="1:3" ht="15.75" thickBot="1" x14ac:dyDescent="0.3">
      <c r="A7" s="3" t="s">
        <v>3</v>
      </c>
      <c r="B7" s="9">
        <v>2020</v>
      </c>
      <c r="C7" s="9">
        <v>2019</v>
      </c>
    </row>
    <row r="8" spans="1:3" x14ac:dyDescent="0.25">
      <c r="A8" s="29" t="s">
        <v>144</v>
      </c>
      <c r="B8" s="11"/>
      <c r="C8" s="10"/>
    </row>
    <row r="9" spans="1:3" ht="15.75" thickBot="1" x14ac:dyDescent="0.3">
      <c r="A9" s="3" t="s">
        <v>145</v>
      </c>
      <c r="B9" s="13" t="e">
        <f>#REF!</f>
        <v>#REF!</v>
      </c>
      <c r="C9" s="34">
        <v>1359</v>
      </c>
    </row>
    <row r="10" spans="1:3" ht="15.75" thickBot="1" x14ac:dyDescent="0.3">
      <c r="A10" s="3" t="s">
        <v>3</v>
      </c>
      <c r="B10" s="13" t="e">
        <f>SUM(B9)</f>
        <v>#REF!</v>
      </c>
      <c r="C10" s="34">
        <f>C9</f>
        <v>1359</v>
      </c>
    </row>
    <row r="11" spans="1:3" x14ac:dyDescent="0.25">
      <c r="A11" s="29" t="s">
        <v>146</v>
      </c>
      <c r="B11" s="6"/>
      <c r="C11" s="26"/>
    </row>
    <row r="12" spans="1:3" x14ac:dyDescent="0.25">
      <c r="A12" s="4" t="s">
        <v>147</v>
      </c>
      <c r="B12" s="5">
        <f>-SUM('BALANCETE 12-2020'!G782)/1000</f>
        <v>928.22172999999998</v>
      </c>
      <c r="C12" s="67">
        <v>735.71405000000004</v>
      </c>
    </row>
    <row r="13" spans="1:3" ht="15.75" thickBot="1" x14ac:dyDescent="0.3">
      <c r="A13" s="4" t="s">
        <v>148</v>
      </c>
      <c r="B13" s="329" t="s">
        <v>4</v>
      </c>
      <c r="C13" s="67">
        <v>707.55545999999993</v>
      </c>
    </row>
    <row r="14" spans="1:3" ht="15.75" thickBot="1" x14ac:dyDescent="0.3">
      <c r="A14" s="4" t="s">
        <v>3</v>
      </c>
      <c r="B14" s="13">
        <f>SUM(B12:B13)</f>
        <v>928.22172999999998</v>
      </c>
      <c r="C14" s="35">
        <v>1444.2695100000001</v>
      </c>
    </row>
    <row r="15" spans="1:3" x14ac:dyDescent="0.25">
      <c r="A15" s="3" t="s">
        <v>3</v>
      </c>
      <c r="B15" s="6"/>
      <c r="C15" s="26"/>
    </row>
    <row r="16" spans="1:3" x14ac:dyDescent="0.25">
      <c r="A16" s="31" t="s">
        <v>149</v>
      </c>
      <c r="B16" s="5"/>
      <c r="C16" s="26"/>
    </row>
    <row r="17" spans="1:3" ht="15.75" thickBot="1" x14ac:dyDescent="0.3">
      <c r="A17" s="4" t="s">
        <v>145</v>
      </c>
      <c r="B17" s="34">
        <f>SUM('BALANCETE 12-2020'!G1545)/1000</f>
        <v>7068.4409299999998</v>
      </c>
      <c r="C17" s="34">
        <v>6637.8883599999999</v>
      </c>
    </row>
    <row r="18" spans="1:3" x14ac:dyDescent="0.25">
      <c r="B18" s="91"/>
      <c r="C18" s="11"/>
    </row>
    <row r="19" spans="1:3" x14ac:dyDescent="0.25">
      <c r="B19" s="5"/>
    </row>
    <row r="20" spans="1:3" x14ac:dyDescent="0.25">
      <c r="B20" s="5"/>
    </row>
    <row r="21" spans="1:3" x14ac:dyDescent="0.25">
      <c r="B21" s="5"/>
    </row>
    <row r="23" spans="1:3" x14ac:dyDescent="0.25">
      <c r="A23" t="s">
        <v>2182</v>
      </c>
      <c r="B23" s="5" t="e">
        <f>#REF!</f>
        <v>#REF!</v>
      </c>
      <c r="C23" s="5" t="e">
        <f>#REF!</f>
        <v>#REF!</v>
      </c>
    </row>
    <row r="24" spans="1:3" x14ac:dyDescent="0.25">
      <c r="A24" t="s">
        <v>2183</v>
      </c>
      <c r="B24" s="5" t="e">
        <f>#REF!</f>
        <v>#REF!</v>
      </c>
      <c r="C24" s="5" t="e">
        <f>#REF!</f>
        <v>#REF!</v>
      </c>
    </row>
  </sheetData>
  <pageMargins left="0.511811024" right="0.511811024" top="0.78740157499999996" bottom="0.78740157499999996" header="0.31496062000000002" footer="0.3149606200000000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C19"/>
  <sheetViews>
    <sheetView zoomScaleNormal="100" workbookViewId="0">
      <selection activeCell="E19" sqref="E19"/>
    </sheetView>
  </sheetViews>
  <sheetFormatPr defaultRowHeight="15" x14ac:dyDescent="0.25"/>
  <cols>
    <col min="1" max="1" width="51.140625" bestFit="1" customWidth="1"/>
    <col min="2" max="2" width="12.28515625" customWidth="1"/>
    <col min="3" max="3" width="13"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150</v>
      </c>
    </row>
    <row r="6" spans="1:3" x14ac:dyDescent="0.25">
      <c r="A6" s="2"/>
    </row>
    <row r="7" spans="1:3" x14ac:dyDescent="0.25">
      <c r="A7" s="2" t="s">
        <v>151</v>
      </c>
    </row>
    <row r="8" spans="1:3" x14ac:dyDescent="0.25">
      <c r="A8" s="2"/>
    </row>
    <row r="9" spans="1:3" ht="15.75" thickBot="1" x14ac:dyDescent="0.3">
      <c r="A9" s="3" t="s">
        <v>3</v>
      </c>
      <c r="B9" s="9">
        <v>2020</v>
      </c>
      <c r="C9" s="9">
        <v>2019</v>
      </c>
    </row>
    <row r="10" spans="1:3" ht="24" x14ac:dyDescent="0.25">
      <c r="A10" s="3" t="s">
        <v>152</v>
      </c>
      <c r="B10" s="5"/>
      <c r="C10" s="30" t="s">
        <v>4971</v>
      </c>
    </row>
    <row r="11" spans="1:3" x14ac:dyDescent="0.25">
      <c r="A11" s="33" t="s">
        <v>153</v>
      </c>
      <c r="B11" s="5">
        <f>SUM('BALANCETE 12-2020V2'!AF242:AL242)/1000</f>
        <v>49683.04191</v>
      </c>
      <c r="C11" s="6">
        <v>57606.99699</v>
      </c>
    </row>
    <row r="12" spans="1:3" x14ac:dyDescent="0.25">
      <c r="A12" s="33" t="s">
        <v>154</v>
      </c>
      <c r="B12" s="5">
        <f>SUM('BALANCETE 12-2020V2'!AF244:AL244)/1000</f>
        <v>26621.803520000001</v>
      </c>
      <c r="C12" s="6">
        <v>27225.754499999999</v>
      </c>
    </row>
    <row r="13" spans="1:3" x14ac:dyDescent="0.25">
      <c r="A13" s="33" t="s">
        <v>155</v>
      </c>
      <c r="B13" s="441" t="e">
        <f>SUM(#REF!+#REF!)/1000-1</f>
        <v>#REF!</v>
      </c>
      <c r="C13" s="323">
        <f>14339-2303</f>
        <v>12036</v>
      </c>
    </row>
    <row r="14" spans="1:3" x14ac:dyDescent="0.25">
      <c r="B14" s="7" t="e">
        <f>SUM(B11:B13)</f>
        <v>#REF!</v>
      </c>
      <c r="C14" s="6">
        <f>SUM(C11:C13)</f>
        <v>96868.751489999995</v>
      </c>
    </row>
    <row r="15" spans="1:3" x14ac:dyDescent="0.25">
      <c r="B15" s="5"/>
      <c r="C15" s="26"/>
    </row>
    <row r="16" spans="1:3" ht="15.75" thickBot="1" x14ac:dyDescent="0.3">
      <c r="B16" s="34" t="e">
        <f>SUM(B14)</f>
        <v>#REF!</v>
      </c>
      <c r="C16" s="34">
        <f>C14</f>
        <v>96868.751489999995</v>
      </c>
    </row>
    <row r="19" spans="1:3" x14ac:dyDescent="0.25">
      <c r="A19" t="s">
        <v>2176</v>
      </c>
      <c r="B19" s="5" t="e">
        <f>#REF!</f>
        <v>#REF!</v>
      </c>
      <c r="C19" s="5" t="e">
        <f>#REF!</f>
        <v>#REF!</v>
      </c>
    </row>
  </sheetData>
  <pageMargins left="0.511811024" right="0.511811024" top="0.78740157499999996" bottom="0.78740157499999996" header="0.31496062000000002" footer="0.31496062000000002"/>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sheetPr>
  <dimension ref="A1:Q53"/>
  <sheetViews>
    <sheetView topLeftCell="A22" zoomScaleNormal="100" workbookViewId="0">
      <selection activeCell="M27" sqref="M27"/>
    </sheetView>
  </sheetViews>
  <sheetFormatPr defaultRowHeight="15" x14ac:dyDescent="0.25"/>
  <cols>
    <col min="1" max="1" width="16.42578125" customWidth="1"/>
    <col min="2" max="2" width="12.28515625" customWidth="1"/>
    <col min="3" max="3" width="13" customWidth="1"/>
    <col min="4" max="4" width="13.85546875" bestFit="1" customWidth="1"/>
    <col min="5" max="5" width="11.7109375" bestFit="1" customWidth="1"/>
    <col min="6" max="6" width="10" bestFit="1" customWidth="1"/>
    <col min="7" max="7" width="11" customWidth="1"/>
    <col min="8" max="8" width="10.7109375" customWidth="1"/>
    <col min="10" max="10" width="10.85546875" customWidth="1"/>
    <col min="13" max="13" width="11.5703125" bestFit="1" customWidth="1"/>
    <col min="15" max="15" width="11.5703125" bestFit="1" customWidth="1"/>
  </cols>
  <sheetData>
    <row r="1" spans="1:16" x14ac:dyDescent="0.25">
      <c r="A1" s="1" t="s">
        <v>105</v>
      </c>
    </row>
    <row r="2" spans="1:16" x14ac:dyDescent="0.25">
      <c r="A2" s="1" t="s">
        <v>2749</v>
      </c>
    </row>
    <row r="3" spans="1:16" x14ac:dyDescent="0.25">
      <c r="A3" s="1" t="s">
        <v>0</v>
      </c>
    </row>
    <row r="4" spans="1:16" x14ac:dyDescent="0.25">
      <c r="A4" s="2"/>
    </row>
    <row r="5" spans="1:16" x14ac:dyDescent="0.25">
      <c r="A5" s="27" t="s">
        <v>150</v>
      </c>
    </row>
    <row r="6" spans="1:16" x14ac:dyDescent="0.25">
      <c r="A6" s="2"/>
    </row>
    <row r="7" spans="1:16" x14ac:dyDescent="0.25">
      <c r="A7" s="2" t="s">
        <v>164</v>
      </c>
    </row>
    <row r="8" spans="1:16" x14ac:dyDescent="0.25">
      <c r="A8" s="2"/>
    </row>
    <row r="9" spans="1:16" ht="34.5" thickBot="1" x14ac:dyDescent="0.3">
      <c r="A9" s="36" t="s">
        <v>156</v>
      </c>
      <c r="B9" s="36" t="s">
        <v>157</v>
      </c>
      <c r="C9" s="36" t="s">
        <v>158</v>
      </c>
      <c r="D9" s="36" t="s">
        <v>13</v>
      </c>
      <c r="E9" s="36" t="s">
        <v>159</v>
      </c>
      <c r="F9" s="36" t="s">
        <v>160</v>
      </c>
      <c r="G9" s="36" t="s">
        <v>2750</v>
      </c>
      <c r="H9" s="36" t="s">
        <v>2567</v>
      </c>
    </row>
    <row r="10" spans="1:16" x14ac:dyDescent="0.25">
      <c r="A10" s="37"/>
      <c r="B10" s="38"/>
      <c r="C10" s="39"/>
      <c r="D10" s="39"/>
      <c r="E10" s="39"/>
      <c r="F10" s="39"/>
      <c r="G10" s="39"/>
      <c r="H10" s="39"/>
    </row>
    <row r="11" spans="1:16" ht="30.75" customHeight="1" x14ac:dyDescent="0.25">
      <c r="A11" s="37" t="s">
        <v>161</v>
      </c>
      <c r="B11" s="43">
        <v>8.8189000000000003E-2</v>
      </c>
      <c r="C11" s="40">
        <v>398381000</v>
      </c>
      <c r="D11" s="118">
        <v>973667</v>
      </c>
      <c r="E11" s="118">
        <v>563370</v>
      </c>
      <c r="F11" s="148">
        <v>332</v>
      </c>
      <c r="G11" s="148">
        <f>-SUM('BALANCETE 12-2020'!G1608+'BALANCETE 12-2020'!G1613)/1000</f>
        <v>29.304110000000335</v>
      </c>
      <c r="H11" s="40">
        <v>109.93494999999972</v>
      </c>
      <c r="J11" s="691" t="s">
        <v>2184</v>
      </c>
      <c r="K11" s="691"/>
      <c r="L11" s="691"/>
      <c r="O11" s="149">
        <f>F11*B11</f>
        <v>29.278748</v>
      </c>
    </row>
    <row r="12" spans="1:16" ht="27.75" customHeight="1" x14ac:dyDescent="0.25">
      <c r="A12" s="37" t="s">
        <v>162</v>
      </c>
      <c r="B12" s="43">
        <v>0.10087699999999999</v>
      </c>
      <c r="C12" s="40">
        <v>522368000</v>
      </c>
      <c r="D12" s="118">
        <v>2341803</v>
      </c>
      <c r="E12" s="118">
        <v>263904</v>
      </c>
      <c r="F12" s="148">
        <v>-5987</v>
      </c>
      <c r="G12" s="148">
        <f>-SUM('BALANCETE 12-2020V2'!AF1616+'BALANCETE 12-2020V2'!AF1621)/1000+1</f>
        <v>-602.9509799999995</v>
      </c>
      <c r="H12" s="148">
        <v>-1060.8356399999996</v>
      </c>
      <c r="J12" s="316" t="s">
        <v>3090</v>
      </c>
      <c r="K12" s="316"/>
      <c r="L12" s="316"/>
      <c r="M12" s="330"/>
      <c r="O12" s="149">
        <f t="shared" ref="O12:O13" si="0">F12*B12</f>
        <v>-603.95059900000001</v>
      </c>
    </row>
    <row r="13" spans="1:16" ht="40.5" customHeight="1" thickBot="1" x14ac:dyDescent="0.3">
      <c r="A13" s="37" t="s">
        <v>163</v>
      </c>
      <c r="B13" s="443">
        <v>0.14381099999999999</v>
      </c>
      <c r="C13" s="40">
        <v>34895364</v>
      </c>
      <c r="D13" s="442">
        <v>149322</v>
      </c>
      <c r="E13" s="442">
        <v>93845</v>
      </c>
      <c r="F13" s="445">
        <v>46866</v>
      </c>
      <c r="G13" s="445" t="e">
        <f>-SUM(#REF!+#REF!)/1000</f>
        <v>#REF!</v>
      </c>
      <c r="H13" s="445">
        <f>1899-236</f>
        <v>1663</v>
      </c>
      <c r="O13" s="149">
        <f t="shared" si="0"/>
        <v>6739.8463259999999</v>
      </c>
    </row>
    <row r="14" spans="1:16" ht="18" thickBot="1" x14ac:dyDescent="0.45">
      <c r="A14" s="41"/>
      <c r="B14" s="41"/>
      <c r="C14" s="41"/>
      <c r="D14" s="42"/>
      <c r="E14" s="42"/>
      <c r="F14" s="42"/>
      <c r="G14" s="42" t="e">
        <f>SUM(G11:G13)</f>
        <v>#REF!</v>
      </c>
      <c r="H14" s="42">
        <f>SUM(H11:H13)</f>
        <v>712.09931000000017</v>
      </c>
      <c r="J14" s="150" t="s">
        <v>2185</v>
      </c>
      <c r="K14" s="151">
        <f>DRE!C18</f>
        <v>6656.2057999999997</v>
      </c>
      <c r="L14" s="151">
        <f>DRE!D18</f>
        <v>712.14176999999995</v>
      </c>
      <c r="M14" s="5"/>
      <c r="N14" s="5"/>
      <c r="O14" s="444">
        <v>490</v>
      </c>
      <c r="P14" t="s">
        <v>4969</v>
      </c>
    </row>
    <row r="15" spans="1:16" ht="15.75" thickTop="1" x14ac:dyDescent="0.25">
      <c r="O15" s="149">
        <f>SUM(O13:O14)</f>
        <v>7229.8463259999999</v>
      </c>
    </row>
    <row r="16" spans="1:16" x14ac:dyDescent="0.25">
      <c r="A16" s="2" t="s">
        <v>165</v>
      </c>
      <c r="B16" s="51"/>
      <c r="C16" s="51"/>
      <c r="D16" s="51"/>
      <c r="E16" s="51"/>
    </row>
    <row r="17" spans="1:17" x14ac:dyDescent="0.25">
      <c r="A17" s="2"/>
      <c r="B17" s="51"/>
      <c r="C17" s="51"/>
      <c r="D17" s="51"/>
      <c r="E17" s="51"/>
    </row>
    <row r="18" spans="1:17" ht="34.5" thickBot="1" x14ac:dyDescent="0.3">
      <c r="A18" s="44"/>
      <c r="B18" s="139" t="s">
        <v>2568</v>
      </c>
      <c r="C18" s="139" t="s">
        <v>167</v>
      </c>
      <c r="D18" s="139" t="s">
        <v>3317</v>
      </c>
      <c r="E18" s="308" t="s">
        <v>3092</v>
      </c>
      <c r="F18" s="139" t="s">
        <v>3093</v>
      </c>
      <c r="G18" s="432"/>
    </row>
    <row r="19" spans="1:17" x14ac:dyDescent="0.25">
      <c r="A19" s="44"/>
      <c r="B19" s="138"/>
      <c r="G19" s="134"/>
    </row>
    <row r="20" spans="1:17" x14ac:dyDescent="0.25">
      <c r="A20" s="140" t="s">
        <v>170</v>
      </c>
      <c r="B20" s="47">
        <v>57607</v>
      </c>
      <c r="C20" s="40">
        <f>G11</f>
        <v>29.304110000000335</v>
      </c>
      <c r="D20" s="148">
        <f>-SUM(1044.39+7848821+103393.8)/1000</f>
        <v>-7953.2591899999998</v>
      </c>
      <c r="E20" s="99" t="s">
        <v>4</v>
      </c>
      <c r="F20" s="434">
        <v>49683.04492</v>
      </c>
      <c r="G20" s="433"/>
      <c r="J20" s="100" t="s">
        <v>2569</v>
      </c>
      <c r="K20" s="100"/>
      <c r="L20" s="100"/>
    </row>
    <row r="21" spans="1:17" x14ac:dyDescent="0.25">
      <c r="A21" s="140" t="s">
        <v>171</v>
      </c>
      <c r="B21" s="47">
        <v>27226</v>
      </c>
      <c r="C21" s="148">
        <f t="shared" ref="C21" si="1">G12</f>
        <v>-602.9509799999995</v>
      </c>
      <c r="D21" s="99" t="s">
        <v>4</v>
      </c>
      <c r="E21" s="99" t="s">
        <v>4</v>
      </c>
      <c r="F21" s="434">
        <v>26623.049020000002</v>
      </c>
      <c r="G21" s="433"/>
      <c r="N21" s="692" t="s">
        <v>2186</v>
      </c>
      <c r="O21" s="692"/>
      <c r="P21" s="692"/>
      <c r="Q21" s="692"/>
    </row>
    <row r="22" spans="1:17" x14ac:dyDescent="0.25">
      <c r="A22" s="456" t="s">
        <v>172</v>
      </c>
      <c r="B22" s="457">
        <f>11916-2303</f>
        <v>9613</v>
      </c>
      <c r="C22" s="442" t="e">
        <f>G13-491</f>
        <v>#REF!</v>
      </c>
      <c r="D22" s="458">
        <f>-SUM(1880032.87+977196.9)/1000</f>
        <v>-2857.2297699999999</v>
      </c>
      <c r="E22" s="459" t="s">
        <v>4</v>
      </c>
      <c r="F22" s="460" t="e">
        <f>SUM(B22:E22)</f>
        <v>#REF!</v>
      </c>
      <c r="G22" s="433"/>
      <c r="N22" s="692"/>
      <c r="O22" s="692"/>
      <c r="P22" s="692"/>
      <c r="Q22" s="692"/>
    </row>
    <row r="23" spans="1:17" ht="22.5" x14ac:dyDescent="0.25">
      <c r="A23" s="456" t="s">
        <v>3091</v>
      </c>
      <c r="B23" s="457">
        <v>2423</v>
      </c>
      <c r="C23" s="442">
        <v>491</v>
      </c>
      <c r="D23" s="458" t="s">
        <v>4</v>
      </c>
      <c r="E23" s="461">
        <v>-310</v>
      </c>
      <c r="F23" s="460">
        <f>SUM(B23:E23)</f>
        <v>2604</v>
      </c>
      <c r="G23" s="433"/>
      <c r="N23" s="692"/>
      <c r="O23" s="692"/>
      <c r="P23" s="692"/>
      <c r="Q23" s="692"/>
    </row>
    <row r="24" spans="1:17" ht="15.75" thickBot="1" x14ac:dyDescent="0.3">
      <c r="A24" s="456" t="s">
        <v>41</v>
      </c>
      <c r="B24" s="462">
        <f>SUM(B20:B23)</f>
        <v>96869</v>
      </c>
      <c r="C24" s="463" t="e">
        <f>SUM(C20:C23)</f>
        <v>#REF!</v>
      </c>
      <c r="D24" s="464">
        <f>SUM(D20:D22)</f>
        <v>-10810.488959999999</v>
      </c>
      <c r="E24" s="465">
        <f>SUM(E20:E23)</f>
        <v>-310</v>
      </c>
      <c r="F24" s="463" t="e">
        <f>SUM(F20:F23)</f>
        <v>#REF!</v>
      </c>
      <c r="G24" s="433"/>
      <c r="J24" s="150" t="s">
        <v>2176</v>
      </c>
      <c r="K24" s="150"/>
      <c r="L24" s="151" t="e">
        <f>SUM(#REF!)</f>
        <v>#REF!</v>
      </c>
      <c r="N24" s="692"/>
      <c r="O24" s="692"/>
      <c r="P24" s="692"/>
      <c r="Q24" s="692"/>
    </row>
    <row r="25" spans="1:17" ht="15.75" thickTop="1" x14ac:dyDescent="0.25">
      <c r="A25" s="44"/>
    </row>
    <row r="26" spans="1:17" ht="15" customHeight="1" x14ac:dyDescent="0.25">
      <c r="A26" s="697"/>
      <c r="B26" s="698" t="s">
        <v>4973</v>
      </c>
      <c r="C26" s="698" t="s">
        <v>167</v>
      </c>
      <c r="D26" s="698" t="s">
        <v>4974</v>
      </c>
      <c r="E26" s="470" t="s">
        <v>1</v>
      </c>
      <c r="F26" s="470"/>
      <c r="G26" s="698" t="s">
        <v>2568</v>
      </c>
    </row>
    <row r="27" spans="1:17" ht="34.5" thickBot="1" x14ac:dyDescent="0.3">
      <c r="A27" s="697"/>
      <c r="B27" s="699"/>
      <c r="C27" s="699"/>
      <c r="D27" s="699"/>
      <c r="E27" s="471" t="s">
        <v>4975</v>
      </c>
      <c r="F27" s="471" t="s">
        <v>192</v>
      </c>
      <c r="G27" s="699"/>
    </row>
    <row r="28" spans="1:17" x14ac:dyDescent="0.25">
      <c r="A28" s="472" t="s">
        <v>3</v>
      </c>
      <c r="B28" s="473" t="s">
        <v>3056</v>
      </c>
      <c r="C28" s="474"/>
      <c r="D28" s="474"/>
      <c r="E28" s="474"/>
      <c r="F28" s="474"/>
      <c r="G28" s="473" t="s">
        <v>3056</v>
      </c>
    </row>
    <row r="29" spans="1:17" x14ac:dyDescent="0.25">
      <c r="A29" s="472" t="s">
        <v>170</v>
      </c>
      <c r="B29" s="475">
        <v>64463</v>
      </c>
      <c r="C29" s="474">
        <v>110</v>
      </c>
      <c r="D29" s="475">
        <v>-6966</v>
      </c>
      <c r="E29" s="474" t="s">
        <v>4</v>
      </c>
      <c r="F29" s="474" t="s">
        <v>4</v>
      </c>
      <c r="G29" s="475">
        <v>57607</v>
      </c>
    </row>
    <row r="30" spans="1:17" x14ac:dyDescent="0.25">
      <c r="A30" s="472" t="s">
        <v>171</v>
      </c>
      <c r="B30" s="475">
        <v>28287</v>
      </c>
      <c r="C30" s="475">
        <v>-1061</v>
      </c>
      <c r="D30" s="474" t="s">
        <v>4</v>
      </c>
      <c r="E30" s="474" t="s">
        <v>4</v>
      </c>
      <c r="F30" s="474" t="s">
        <v>4</v>
      </c>
      <c r="G30" s="475">
        <v>27226</v>
      </c>
    </row>
    <row r="31" spans="1:17" x14ac:dyDescent="0.25">
      <c r="A31" s="472" t="s">
        <v>4976</v>
      </c>
      <c r="B31" s="475">
        <f>E40-2067</f>
        <v>6656.8914299999997</v>
      </c>
      <c r="C31" s="475">
        <v>1663</v>
      </c>
      <c r="D31" s="475">
        <v>-2537</v>
      </c>
      <c r="E31" s="475">
        <v>3830</v>
      </c>
      <c r="F31" s="474" t="s">
        <v>4</v>
      </c>
      <c r="G31" s="475">
        <v>9613</v>
      </c>
    </row>
    <row r="32" spans="1:17" ht="22.5" x14ac:dyDescent="0.25">
      <c r="A32" s="472" t="s">
        <v>4977</v>
      </c>
      <c r="B32" s="474" t="s">
        <v>4</v>
      </c>
      <c r="C32" s="474" t="s">
        <v>4</v>
      </c>
      <c r="D32" s="474" t="s">
        <v>4</v>
      </c>
      <c r="E32" s="475">
        <v>2423</v>
      </c>
      <c r="F32" s="474" t="s">
        <v>4</v>
      </c>
      <c r="G32" s="475">
        <v>2423</v>
      </c>
    </row>
    <row r="33" spans="1:7" ht="15.75" thickBot="1" x14ac:dyDescent="0.3">
      <c r="A33" s="472" t="s">
        <v>4978</v>
      </c>
      <c r="B33" s="475">
        <v>3782</v>
      </c>
      <c r="C33" s="474" t="s">
        <v>4</v>
      </c>
      <c r="D33" s="474" t="s">
        <v>4</v>
      </c>
      <c r="E33" s="474" t="s">
        <v>4</v>
      </c>
      <c r="F33" s="475">
        <v>-3782</v>
      </c>
      <c r="G33" s="474" t="s">
        <v>4</v>
      </c>
    </row>
    <row r="34" spans="1:7" ht="15.75" thickBot="1" x14ac:dyDescent="0.3">
      <c r="A34" s="472"/>
      <c r="B34" s="476">
        <v>103189</v>
      </c>
      <c r="C34" s="477">
        <v>712</v>
      </c>
      <c r="D34" s="476">
        <v>-9503</v>
      </c>
      <c r="E34" s="476">
        <v>6253</v>
      </c>
      <c r="F34" s="476">
        <v>-3782</v>
      </c>
      <c r="G34" s="476">
        <v>96869</v>
      </c>
    </row>
    <row r="35" spans="1:7" ht="15.75" thickTop="1" x14ac:dyDescent="0.25">
      <c r="A35" s="467"/>
      <c r="B35" s="468"/>
      <c r="C35" s="469"/>
      <c r="D35" s="468"/>
      <c r="E35" s="468"/>
      <c r="F35" s="468"/>
      <c r="G35" s="468"/>
    </row>
    <row r="36" spans="1:7" ht="23.25" thickBot="1" x14ac:dyDescent="0.3">
      <c r="A36" s="37" t="s">
        <v>3</v>
      </c>
      <c r="B36" s="36" t="s">
        <v>173</v>
      </c>
      <c r="C36" s="36" t="s">
        <v>167</v>
      </c>
      <c r="D36" s="36" t="s">
        <v>174</v>
      </c>
      <c r="E36" s="36" t="s">
        <v>175</v>
      </c>
    </row>
    <row r="37" spans="1:7" x14ac:dyDescent="0.25">
      <c r="A37" s="37" t="s">
        <v>3</v>
      </c>
      <c r="B37" s="45"/>
      <c r="C37" s="46"/>
      <c r="D37" s="46"/>
      <c r="E37" s="46"/>
    </row>
    <row r="38" spans="1:7" x14ac:dyDescent="0.25">
      <c r="A38" s="37" t="s">
        <v>170</v>
      </c>
      <c r="B38" s="47">
        <v>69014</v>
      </c>
      <c r="C38" s="47">
        <v>124</v>
      </c>
      <c r="D38" s="47">
        <f>-1-4674</f>
        <v>-4675</v>
      </c>
      <c r="E38" s="47">
        <f>SUM(B38:D38)</f>
        <v>64463</v>
      </c>
    </row>
    <row r="39" spans="1:7" x14ac:dyDescent="0.25">
      <c r="A39" s="37" t="s">
        <v>171</v>
      </c>
      <c r="B39" s="47">
        <v>31197</v>
      </c>
      <c r="C39" s="47">
        <v>-2910</v>
      </c>
      <c r="D39" s="119" t="s">
        <v>4</v>
      </c>
      <c r="E39" s="47">
        <f>SUM(B39:D39)</f>
        <v>28287</v>
      </c>
    </row>
    <row r="40" spans="1:7" x14ac:dyDescent="0.25">
      <c r="A40" s="37" t="s">
        <v>172</v>
      </c>
      <c r="B40" s="120">
        <v>9571</v>
      </c>
      <c r="C40" s="47">
        <v>1763</v>
      </c>
      <c r="D40" s="120">
        <f>-SUM(1139128.62+1452344.97+17634.98)/1000</f>
        <v>-2609.1085699999999</v>
      </c>
      <c r="E40" s="47">
        <f>SUM(B40:D40)-1</f>
        <v>8723.8914299999997</v>
      </c>
    </row>
    <row r="41" spans="1:7" ht="15.75" thickBot="1" x14ac:dyDescent="0.3">
      <c r="A41" s="467" t="s">
        <v>4972</v>
      </c>
      <c r="B41" s="120">
        <v>3782</v>
      </c>
      <c r="C41" s="47" t="s">
        <v>4</v>
      </c>
      <c r="D41" s="120" t="s">
        <v>4</v>
      </c>
      <c r="E41" s="47">
        <f>SUM(B41:D41)</f>
        <v>3782</v>
      </c>
    </row>
    <row r="42" spans="1:7" ht="15.75" thickBot="1" x14ac:dyDescent="0.3">
      <c r="A42" s="37" t="s">
        <v>41</v>
      </c>
      <c r="B42" s="49">
        <f>SUM(B38:B41)</f>
        <v>113564</v>
      </c>
      <c r="C42" s="50">
        <f>SUM(C38:C40)</f>
        <v>-1023</v>
      </c>
      <c r="D42" s="49">
        <f>SUM(D38:D40)</f>
        <v>-7284.1085700000003</v>
      </c>
      <c r="E42" s="49">
        <f>SUM(E38:E41)</f>
        <v>105255.89143</v>
      </c>
    </row>
    <row r="43" spans="1:7" ht="15.75" thickTop="1" x14ac:dyDescent="0.25">
      <c r="A43" s="44"/>
    </row>
    <row r="44" spans="1:7" ht="15" hidden="1" customHeight="1" x14ac:dyDescent="0.25">
      <c r="A44" s="695" t="s">
        <v>3</v>
      </c>
      <c r="B44" s="696" t="s">
        <v>166</v>
      </c>
      <c r="C44" s="696" t="s">
        <v>167</v>
      </c>
      <c r="D44" s="696" t="s">
        <v>168</v>
      </c>
      <c r="E44" s="693" t="s">
        <v>169</v>
      </c>
    </row>
    <row r="45" spans="1:7" ht="15.75" hidden="1" customHeight="1" thickBot="1" x14ac:dyDescent="0.3">
      <c r="A45" s="695"/>
      <c r="B45" s="694"/>
      <c r="C45" s="694"/>
      <c r="D45" s="694"/>
      <c r="E45" s="694"/>
    </row>
    <row r="46" spans="1:7" hidden="1" x14ac:dyDescent="0.25">
      <c r="A46" s="37" t="s">
        <v>3</v>
      </c>
      <c r="B46" s="45"/>
      <c r="C46" s="45"/>
      <c r="D46" s="45"/>
      <c r="E46" s="52"/>
    </row>
    <row r="47" spans="1:7" hidden="1" x14ac:dyDescent="0.25">
      <c r="A47" s="37" t="s">
        <v>170</v>
      </c>
      <c r="B47" s="47">
        <v>65027</v>
      </c>
      <c r="C47" s="47">
        <v>4024</v>
      </c>
      <c r="D47" s="45">
        <v>-38</v>
      </c>
      <c r="E47" s="47">
        <v>69014</v>
      </c>
    </row>
    <row r="48" spans="1:7" hidden="1" x14ac:dyDescent="0.25">
      <c r="A48" s="37" t="s">
        <v>171</v>
      </c>
      <c r="B48" s="47">
        <v>31925</v>
      </c>
      <c r="C48" s="45">
        <v>-727</v>
      </c>
      <c r="D48" s="45" t="s">
        <v>4</v>
      </c>
      <c r="E48" s="47">
        <v>31197</v>
      </c>
    </row>
    <row r="49" spans="1:7" ht="15.75" hidden="1" thickBot="1" x14ac:dyDescent="0.3">
      <c r="A49" s="37" t="s">
        <v>172</v>
      </c>
      <c r="B49" s="48">
        <v>9118</v>
      </c>
      <c r="C49" s="47">
        <v>1467</v>
      </c>
      <c r="D49" s="48">
        <f>-2153+1139</f>
        <v>-1014</v>
      </c>
      <c r="E49" s="120">
        <f>SUM(B49:D49)</f>
        <v>9571</v>
      </c>
    </row>
    <row r="50" spans="1:7" ht="15.75" hidden="1" thickBot="1" x14ac:dyDescent="0.3">
      <c r="A50" s="37" t="s">
        <v>41</v>
      </c>
      <c r="B50" s="49">
        <v>106070</v>
      </c>
      <c r="C50" s="50">
        <v>4764</v>
      </c>
      <c r="D50" s="49">
        <f>SUM(D47:D49)</f>
        <v>-1052</v>
      </c>
      <c r="E50" s="49">
        <f>SUM(E47:E49)</f>
        <v>109782</v>
      </c>
    </row>
    <row r="53" spans="1:7" x14ac:dyDescent="0.25">
      <c r="G53" s="5"/>
    </row>
  </sheetData>
  <mergeCells count="12">
    <mergeCell ref="J11:L11"/>
    <mergeCell ref="N21:Q24"/>
    <mergeCell ref="E44:E45"/>
    <mergeCell ref="A44:A45"/>
    <mergeCell ref="B44:B45"/>
    <mergeCell ref="C44:C45"/>
    <mergeCell ref="D44:D45"/>
    <mergeCell ref="A26:A27"/>
    <mergeCell ref="B26:B27"/>
    <mergeCell ref="C26:C27"/>
    <mergeCell ref="D26:D27"/>
    <mergeCell ref="G26:G27"/>
  </mergeCells>
  <pageMargins left="0.511811024" right="0.511811024" top="0.78740157499999996" bottom="0.78740157499999996" header="0.31496062000000002" footer="0.31496062000000002"/>
  <pageSetup paperSize="9" scale="72"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F30"/>
  <sheetViews>
    <sheetView workbookViewId="0">
      <selection sqref="A1:XFD1048576"/>
    </sheetView>
  </sheetViews>
  <sheetFormatPr defaultRowHeight="15" x14ac:dyDescent="0.25"/>
  <cols>
    <col min="1" max="1" width="30.28515625" style="134" bestFit="1" customWidth="1"/>
    <col min="2" max="2" width="10.5703125" style="134" bestFit="1" customWidth="1"/>
    <col min="3" max="3" width="10.85546875" style="134" customWidth="1"/>
    <col min="4" max="4" width="10.5703125" style="134" bestFit="1" customWidth="1"/>
    <col min="5" max="16384" width="9.140625" style="134"/>
  </cols>
  <sheetData>
    <row r="1" spans="1:6" x14ac:dyDescent="0.25">
      <c r="A1" s="385"/>
      <c r="B1" s="385"/>
      <c r="C1" s="385"/>
      <c r="D1" s="385"/>
      <c r="E1" s="700" t="s">
        <v>176</v>
      </c>
      <c r="F1" s="700"/>
    </row>
    <row r="2" spans="1:6" x14ac:dyDescent="0.25">
      <c r="A2" s="385"/>
      <c r="B2" s="386" t="s">
        <v>2706</v>
      </c>
      <c r="C2" s="387" t="s">
        <v>2707</v>
      </c>
      <c r="D2" s="387" t="s">
        <v>2582</v>
      </c>
      <c r="E2" s="387"/>
      <c r="F2" s="388"/>
    </row>
    <row r="3" spans="1:6" x14ac:dyDescent="0.25">
      <c r="A3" s="389" t="s">
        <v>563</v>
      </c>
      <c r="B3" s="389" t="s">
        <v>2582</v>
      </c>
      <c r="C3" s="389" t="s">
        <v>2708</v>
      </c>
      <c r="D3" s="389" t="s">
        <v>2709</v>
      </c>
      <c r="E3" s="390">
        <v>2020</v>
      </c>
      <c r="F3" s="390">
        <v>2019</v>
      </c>
    </row>
    <row r="4" spans="1:6" x14ac:dyDescent="0.25">
      <c r="A4" s="391"/>
      <c r="B4" s="391"/>
      <c r="C4" s="391"/>
      <c r="D4" s="391"/>
      <c r="E4" s="391"/>
      <c r="F4" s="391"/>
    </row>
    <row r="5" spans="1:6" x14ac:dyDescent="0.25">
      <c r="A5" s="392" t="s">
        <v>2710</v>
      </c>
      <c r="B5" s="391"/>
      <c r="C5" s="391"/>
      <c r="D5" s="391"/>
      <c r="E5" s="393"/>
      <c r="F5" s="393"/>
    </row>
    <row r="6" spans="1:6" x14ac:dyDescent="0.25">
      <c r="A6" s="394" t="s">
        <v>177</v>
      </c>
      <c r="B6" s="395" t="s">
        <v>178</v>
      </c>
      <c r="C6" s="183">
        <v>1572683.65</v>
      </c>
      <c r="D6" s="183">
        <v>0</v>
      </c>
      <c r="E6" s="183">
        <v>1572683.65</v>
      </c>
      <c r="F6" s="183">
        <v>1572683.65</v>
      </c>
    </row>
    <row r="7" spans="1:6" x14ac:dyDescent="0.25">
      <c r="A7" s="396" t="s">
        <v>179</v>
      </c>
      <c r="B7" s="397">
        <v>3.3300000000000003E-2</v>
      </c>
      <c r="C7" s="183">
        <v>18653184.350000001</v>
      </c>
      <c r="D7" s="183">
        <v>-6858769.4500000002</v>
      </c>
      <c r="E7" s="183">
        <v>11794414.900000002</v>
      </c>
      <c r="F7" s="183">
        <v>12268846.500000002</v>
      </c>
    </row>
    <row r="8" spans="1:6" x14ac:dyDescent="0.25">
      <c r="A8" s="396" t="s">
        <v>180</v>
      </c>
      <c r="B8" s="397">
        <v>3.3300000000000003E-2</v>
      </c>
      <c r="C8" s="183">
        <v>55975483.789999999</v>
      </c>
      <c r="D8" s="183">
        <v>-24928156.630000003</v>
      </c>
      <c r="E8" s="183">
        <v>31047327.159999996</v>
      </c>
      <c r="F8" s="183">
        <v>32889356.90000001</v>
      </c>
    </row>
    <row r="9" spans="1:6" x14ac:dyDescent="0.25">
      <c r="A9" s="396" t="s">
        <v>2711</v>
      </c>
      <c r="B9" s="398">
        <v>0.02</v>
      </c>
      <c r="C9" s="183">
        <v>66459708.5</v>
      </c>
      <c r="D9" s="183">
        <v>-17838219.279999997</v>
      </c>
      <c r="E9" s="419">
        <v>48622</v>
      </c>
      <c r="F9" s="183">
        <v>49961764.140000001</v>
      </c>
    </row>
    <row r="10" spans="1:6" x14ac:dyDescent="0.25">
      <c r="A10" s="396" t="s">
        <v>2712</v>
      </c>
      <c r="B10" s="399">
        <v>0.1429</v>
      </c>
      <c r="C10" s="183">
        <v>119715.93</v>
      </c>
      <c r="D10" s="183">
        <v>-109301.52</v>
      </c>
      <c r="E10" s="419">
        <v>11</v>
      </c>
      <c r="F10" s="183">
        <v>22000</v>
      </c>
    </row>
    <row r="11" spans="1:6" x14ac:dyDescent="0.25">
      <c r="A11" s="396" t="s">
        <v>2713</v>
      </c>
      <c r="B11" s="399">
        <v>6.25E-2</v>
      </c>
      <c r="C11" s="183">
        <v>112261.58999999998</v>
      </c>
      <c r="D11" s="183">
        <v>-67465.559999999983</v>
      </c>
      <c r="E11" s="183">
        <v>44796.03</v>
      </c>
      <c r="F11" s="183">
        <v>50147.119999999974</v>
      </c>
    </row>
    <row r="12" spans="1:6" x14ac:dyDescent="0.25">
      <c r="A12" s="394" t="s">
        <v>184</v>
      </c>
      <c r="B12" s="400">
        <v>0</v>
      </c>
      <c r="C12" s="186">
        <v>1085424.51</v>
      </c>
      <c r="D12" s="186">
        <v>-411803.43</v>
      </c>
      <c r="E12" s="420">
        <v>673</v>
      </c>
      <c r="F12" s="186">
        <v>711000</v>
      </c>
    </row>
    <row r="13" spans="1:6" x14ac:dyDescent="0.25">
      <c r="A13" s="401" t="s">
        <v>185</v>
      </c>
      <c r="B13" s="385"/>
      <c r="C13" s="189">
        <v>143978462.31999999</v>
      </c>
      <c r="D13" s="190">
        <v>-50213</v>
      </c>
      <c r="E13" s="189">
        <v>93764746.450000003</v>
      </c>
      <c r="F13" s="190">
        <f>SUM(F6:F12)/1000</f>
        <v>97475.798310000013</v>
      </c>
    </row>
    <row r="14" spans="1:6" x14ac:dyDescent="0.25">
      <c r="A14" s="391"/>
      <c r="B14" s="402"/>
      <c r="C14" s="192"/>
      <c r="D14" s="192"/>
      <c r="E14" s="192"/>
      <c r="F14" s="193"/>
    </row>
    <row r="15" spans="1:6" x14ac:dyDescent="0.25">
      <c r="A15" s="392" t="s">
        <v>186</v>
      </c>
      <c r="B15" s="403"/>
      <c r="C15" s="192"/>
      <c r="D15" s="192"/>
      <c r="E15" s="192"/>
      <c r="F15" s="193"/>
    </row>
    <row r="16" spans="1:6" x14ac:dyDescent="0.25">
      <c r="A16" s="404" t="s">
        <v>2714</v>
      </c>
      <c r="B16" s="404"/>
      <c r="C16" s="405">
        <v>5557921.0599999996</v>
      </c>
      <c r="D16" s="405">
        <v>0</v>
      </c>
      <c r="E16" s="196">
        <v>5557921.0599999996</v>
      </c>
      <c r="F16" s="187">
        <v>4316</v>
      </c>
    </row>
    <row r="17" spans="1:6" x14ac:dyDescent="0.25">
      <c r="A17" s="388" t="s">
        <v>187</v>
      </c>
      <c r="B17" s="404"/>
      <c r="C17" s="406">
        <v>5557921.0599999996</v>
      </c>
      <c r="D17" s="406">
        <v>0</v>
      </c>
      <c r="E17" s="406">
        <v>5557921.0599999996</v>
      </c>
      <c r="F17" s="407">
        <v>4316</v>
      </c>
    </row>
    <row r="18" spans="1:6" x14ac:dyDescent="0.25">
      <c r="A18" s="404"/>
      <c r="B18" s="408"/>
      <c r="C18" s="409"/>
      <c r="D18" s="410"/>
      <c r="E18" s="410"/>
      <c r="F18" s="411"/>
    </row>
    <row r="19" spans="1:6" x14ac:dyDescent="0.25">
      <c r="A19" s="392" t="s">
        <v>2715</v>
      </c>
      <c r="B19" s="402"/>
      <c r="C19" s="412"/>
      <c r="D19" s="412"/>
      <c r="E19" s="412"/>
      <c r="F19" s="413"/>
    </row>
    <row r="20" spans="1:6" x14ac:dyDescent="0.25">
      <c r="A20" s="394" t="s">
        <v>177</v>
      </c>
      <c r="B20" s="414" t="s">
        <v>178</v>
      </c>
      <c r="C20" s="412">
        <v>565308.54</v>
      </c>
      <c r="D20" s="412">
        <v>0</v>
      </c>
      <c r="E20" s="199">
        <v>565308.54</v>
      </c>
      <c r="F20" s="413">
        <v>356.26792999999998</v>
      </c>
    </row>
    <row r="21" spans="1:6" x14ac:dyDescent="0.25">
      <c r="A21" s="396" t="s">
        <v>179</v>
      </c>
      <c r="B21" s="399">
        <v>3.3300000000000003E-2</v>
      </c>
      <c r="C21" s="199">
        <v>1286183.71</v>
      </c>
      <c r="D21" s="199">
        <v>-680927.03</v>
      </c>
      <c r="E21" s="199">
        <v>605256.67999999993</v>
      </c>
      <c r="F21" s="184">
        <v>648</v>
      </c>
    </row>
    <row r="22" spans="1:6" x14ac:dyDescent="0.25">
      <c r="A22" s="396" t="s">
        <v>180</v>
      </c>
      <c r="B22" s="399">
        <v>6.25E-2</v>
      </c>
      <c r="C22" s="199">
        <v>713627.82</v>
      </c>
      <c r="D22" s="199">
        <v>-467138.23</v>
      </c>
      <c r="E22" s="421">
        <v>247</v>
      </c>
      <c r="F22" s="184">
        <v>294</v>
      </c>
    </row>
    <row r="23" spans="1:6" x14ac:dyDescent="0.25">
      <c r="A23" s="396" t="s">
        <v>183</v>
      </c>
      <c r="B23" s="399">
        <v>6.25E-2</v>
      </c>
      <c r="C23" s="199">
        <v>239808.78</v>
      </c>
      <c r="D23" s="199">
        <v>-213215.69</v>
      </c>
      <c r="E23" s="199">
        <v>26593.089999999997</v>
      </c>
      <c r="F23" s="184">
        <v>42</v>
      </c>
    </row>
    <row r="24" spans="1:6" x14ac:dyDescent="0.25">
      <c r="A24" s="396" t="s">
        <v>182</v>
      </c>
      <c r="B24" s="399">
        <v>0.1429</v>
      </c>
      <c r="C24" s="196">
        <v>322895.78000000003</v>
      </c>
      <c r="D24" s="196">
        <v>-160586.81</v>
      </c>
      <c r="E24" s="199">
        <v>162308.97000000003</v>
      </c>
      <c r="F24" s="187">
        <v>192</v>
      </c>
    </row>
    <row r="25" spans="1:6" x14ac:dyDescent="0.25">
      <c r="A25" s="401" t="s">
        <v>2716</v>
      </c>
      <c r="B25" s="402"/>
      <c r="C25" s="200">
        <v>3127824.63</v>
      </c>
      <c r="D25" s="200">
        <v>-1521867.76</v>
      </c>
      <c r="E25" s="200">
        <v>1605956.87</v>
      </c>
      <c r="F25" s="201">
        <v>1532</v>
      </c>
    </row>
    <row r="26" spans="1:6" x14ac:dyDescent="0.25">
      <c r="A26" s="415"/>
      <c r="B26" s="408"/>
      <c r="C26" s="409"/>
      <c r="D26" s="202"/>
      <c r="E26" s="416"/>
      <c r="F26" s="204"/>
    </row>
    <row r="27" spans="1:6" ht="15.75" thickBot="1" x14ac:dyDescent="0.3">
      <c r="A27" s="401" t="s">
        <v>2717</v>
      </c>
      <c r="B27" s="385"/>
      <c r="C27" s="417">
        <v>152664208.00999999</v>
      </c>
      <c r="D27" s="423">
        <v>-51735</v>
      </c>
      <c r="E27" s="417">
        <v>100928624.38000001</v>
      </c>
      <c r="F27" s="418">
        <v>103324</v>
      </c>
    </row>
    <row r="28" spans="1:6" ht="15.75" thickTop="1" x14ac:dyDescent="0.25"/>
    <row r="30" spans="1:6" s="435" customFormat="1" x14ac:dyDescent="0.25">
      <c r="A30" s="435" t="s">
        <v>4965</v>
      </c>
      <c r="E30" s="436" t="e">
        <f>SUM(#REF!)</f>
        <v>#REF!</v>
      </c>
      <c r="F30" s="436" t="e">
        <f>SUM(#REF!)</f>
        <v>#REF!</v>
      </c>
    </row>
  </sheetData>
  <mergeCells count="1">
    <mergeCell ref="E1:F1"/>
  </mergeCells>
  <pageMargins left="0.511811024" right="0.511811024" top="0.78740157499999996" bottom="0.78740157499999996" header="0.31496062000000002" footer="0.3149606200000000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N101"/>
  <sheetViews>
    <sheetView zoomScaleNormal="100" workbookViewId="0">
      <selection activeCell="A24" sqref="A24"/>
    </sheetView>
  </sheetViews>
  <sheetFormatPr defaultRowHeight="12" x14ac:dyDescent="0.2"/>
  <cols>
    <col min="1" max="1" width="78" style="528" bestFit="1" customWidth="1"/>
    <col min="2" max="2" width="6.28515625" style="566" bestFit="1" customWidth="1"/>
    <col min="3" max="3" width="11.28515625" style="528" bestFit="1" customWidth="1"/>
    <col min="4" max="5" width="17.5703125" style="528" bestFit="1" customWidth="1"/>
    <col min="6" max="16384" width="9.140625" style="528"/>
  </cols>
  <sheetData>
    <row r="1" spans="1:5" s="531" customFormat="1" ht="15" x14ac:dyDescent="0.25">
      <c r="A1" s="453" t="s">
        <v>2174</v>
      </c>
      <c r="B1" s="545"/>
    </row>
    <row r="2" spans="1:5" s="531" customFormat="1" ht="15" x14ac:dyDescent="0.25">
      <c r="A2" s="453" t="s">
        <v>2175</v>
      </c>
      <c r="B2" s="545"/>
    </row>
    <row r="3" spans="1:5" s="531" customFormat="1" ht="15" x14ac:dyDescent="0.25">
      <c r="A3" s="453" t="s">
        <v>2745</v>
      </c>
      <c r="B3" s="545"/>
    </row>
    <row r="4" spans="1:5" s="531" customFormat="1" ht="15" x14ac:dyDescent="0.25">
      <c r="A4" s="534" t="s">
        <v>2168</v>
      </c>
      <c r="B4" s="545"/>
    </row>
    <row r="5" spans="1:5" x14ac:dyDescent="0.2">
      <c r="A5" s="515"/>
    </row>
    <row r="6" spans="1:5" x14ac:dyDescent="0.2">
      <c r="A6" s="515"/>
    </row>
    <row r="7" spans="1:5" ht="12.75" thickBot="1" x14ac:dyDescent="0.25">
      <c r="A7" s="515" t="s">
        <v>3</v>
      </c>
      <c r="B7" s="516" t="s">
        <v>7</v>
      </c>
      <c r="C7" s="516" t="s">
        <v>2746</v>
      </c>
      <c r="D7" s="516" t="s">
        <v>2564</v>
      </c>
      <c r="E7" s="516" t="s">
        <v>4970</v>
      </c>
    </row>
    <row r="8" spans="1:5" x14ac:dyDescent="0.2">
      <c r="A8" s="515"/>
      <c r="B8" s="517"/>
      <c r="C8" s="517"/>
      <c r="D8" s="517" t="s">
        <v>3056</v>
      </c>
      <c r="E8" s="517" t="s">
        <v>3056</v>
      </c>
    </row>
    <row r="9" spans="1:5" x14ac:dyDescent="0.2">
      <c r="A9" s="515" t="s">
        <v>27</v>
      </c>
      <c r="B9" s="535">
        <v>13</v>
      </c>
      <c r="C9" s="519">
        <v>119018.76192</v>
      </c>
      <c r="D9" s="519">
        <v>116165.52748</v>
      </c>
      <c r="E9" s="519">
        <v>96207</v>
      </c>
    </row>
    <row r="10" spans="1:5" x14ac:dyDescent="0.2">
      <c r="A10" s="515" t="s">
        <v>3</v>
      </c>
      <c r="B10" s="535"/>
      <c r="C10" s="536"/>
      <c r="D10" s="537"/>
    </row>
    <row r="11" spans="1:5" x14ac:dyDescent="0.2">
      <c r="A11" s="515" t="s">
        <v>28</v>
      </c>
      <c r="B11" s="535">
        <v>14</v>
      </c>
      <c r="C11" s="524">
        <v>-9809.1623300000028</v>
      </c>
      <c r="D11" s="524">
        <v>-12550.718999999999</v>
      </c>
      <c r="E11" s="524">
        <v>-12620.465510000002</v>
      </c>
    </row>
    <row r="12" spans="1:5" ht="12.75" thickBot="1" x14ac:dyDescent="0.25">
      <c r="A12" s="515" t="s">
        <v>3295</v>
      </c>
      <c r="B12" s="535">
        <v>15</v>
      </c>
      <c r="C12" s="522">
        <v>-37301.607919999995</v>
      </c>
      <c r="D12" s="522">
        <v>-34549.605299999996</v>
      </c>
      <c r="E12" s="522">
        <v>-28258.91705</v>
      </c>
    </row>
    <row r="13" spans="1:5" ht="12.75" thickBot="1" x14ac:dyDescent="0.25">
      <c r="A13" s="515" t="s">
        <v>21</v>
      </c>
      <c r="B13" s="535"/>
      <c r="C13" s="526">
        <v>71907.991670000003</v>
      </c>
      <c r="D13" s="526">
        <v>69065.203180000011</v>
      </c>
      <c r="E13" s="526">
        <v>55327.617439999987</v>
      </c>
    </row>
    <row r="14" spans="1:5" x14ac:dyDescent="0.2">
      <c r="B14" s="535"/>
      <c r="C14" s="538"/>
      <c r="D14" s="538"/>
    </row>
    <row r="15" spans="1:5" x14ac:dyDescent="0.2">
      <c r="A15" s="515" t="s">
        <v>29</v>
      </c>
      <c r="B15" s="535"/>
      <c r="C15" s="539"/>
      <c r="D15" s="535"/>
    </row>
    <row r="16" spans="1:5" x14ac:dyDescent="0.2">
      <c r="A16" s="515" t="s">
        <v>22</v>
      </c>
      <c r="B16" s="535">
        <v>16</v>
      </c>
      <c r="C16" s="524">
        <v>-10065.592010000002</v>
      </c>
      <c r="D16" s="524">
        <v>-7304.0404199999994</v>
      </c>
      <c r="E16" s="524">
        <v>-4054.3642700000009</v>
      </c>
    </row>
    <row r="17" spans="1:7" x14ac:dyDescent="0.2">
      <c r="A17" s="515" t="s">
        <v>3063</v>
      </c>
      <c r="B17" s="535">
        <v>17</v>
      </c>
      <c r="C17" s="519">
        <v>3688.7469800000003</v>
      </c>
      <c r="D17" s="524">
        <v>-518.1445299999998</v>
      </c>
      <c r="E17" s="524">
        <v>75.882760000000005</v>
      </c>
    </row>
    <row r="18" spans="1:7" x14ac:dyDescent="0.2">
      <c r="A18" s="515" t="s">
        <v>30</v>
      </c>
      <c r="B18" s="567"/>
      <c r="C18" s="519">
        <v>6656.2057999999997</v>
      </c>
      <c r="D18" s="524">
        <v>712.14176999999995</v>
      </c>
      <c r="E18" s="524">
        <v>-3089.5306599999999</v>
      </c>
    </row>
    <row r="19" spans="1:7" ht="12.75" thickBot="1" x14ac:dyDescent="0.25">
      <c r="A19" s="515"/>
      <c r="B19" s="535"/>
      <c r="C19" s="526"/>
      <c r="D19" s="526"/>
      <c r="E19" s="568"/>
    </row>
    <row r="20" spans="1:7" ht="12.75" thickBot="1" x14ac:dyDescent="0.25">
      <c r="A20" s="515" t="s">
        <v>23</v>
      </c>
      <c r="B20" s="535"/>
      <c r="C20" s="540">
        <v>72187.352440000002</v>
      </c>
      <c r="D20" s="540">
        <v>61955.160000000018</v>
      </c>
      <c r="E20" s="540">
        <v>48259.605269999993</v>
      </c>
      <c r="F20" s="551"/>
    </row>
    <row r="21" spans="1:7" x14ac:dyDescent="0.2">
      <c r="A21" s="515"/>
      <c r="B21" s="535"/>
      <c r="C21" s="551"/>
    </row>
    <row r="22" spans="1:7" x14ac:dyDescent="0.2">
      <c r="A22" s="515" t="s">
        <v>31</v>
      </c>
      <c r="B22" s="535">
        <v>18</v>
      </c>
      <c r="C22" s="519">
        <v>5604.9817199999998</v>
      </c>
      <c r="D22" s="519">
        <v>10073.40101</v>
      </c>
      <c r="E22" s="519">
        <v>10556</v>
      </c>
    </row>
    <row r="23" spans="1:7" ht="12.75" thickBot="1" x14ac:dyDescent="0.25">
      <c r="A23" s="515" t="s">
        <v>32</v>
      </c>
      <c r="B23" s="535">
        <v>18</v>
      </c>
      <c r="C23" s="541">
        <v>-40941.234329999999</v>
      </c>
      <c r="D23" s="541">
        <v>-19222.17785</v>
      </c>
      <c r="E23" s="541">
        <v>-20169</v>
      </c>
    </row>
    <row r="24" spans="1:7" ht="12.75" thickBot="1" x14ac:dyDescent="0.25">
      <c r="A24" s="515" t="s">
        <v>33</v>
      </c>
      <c r="B24" s="535"/>
      <c r="C24" s="541">
        <v>-35336.252609999996</v>
      </c>
      <c r="D24" s="541">
        <v>-9148.7768400000004</v>
      </c>
      <c r="E24" s="541">
        <v>-9613</v>
      </c>
    </row>
    <row r="25" spans="1:7" ht="12.75" thickBot="1" x14ac:dyDescent="0.25">
      <c r="A25" s="515" t="s">
        <v>24</v>
      </c>
      <c r="B25" s="535"/>
      <c r="C25" s="526">
        <v>36851.099830000006</v>
      </c>
      <c r="D25" s="526">
        <v>52806.383160000019</v>
      </c>
      <c r="E25" s="526">
        <v>38646.605269999993</v>
      </c>
    </row>
    <row r="26" spans="1:7" x14ac:dyDescent="0.2">
      <c r="A26" s="515"/>
      <c r="B26" s="535"/>
      <c r="C26" s="551"/>
    </row>
    <row r="27" spans="1:7" x14ac:dyDescent="0.2">
      <c r="A27" s="515" t="s">
        <v>34</v>
      </c>
      <c r="B27" s="535">
        <v>19</v>
      </c>
      <c r="C27" s="524">
        <v>-1484.63985</v>
      </c>
      <c r="D27" s="524">
        <v>-3170.47712</v>
      </c>
      <c r="E27" s="524">
        <v>-1939</v>
      </c>
      <c r="F27" s="552"/>
      <c r="G27" s="552"/>
    </row>
    <row r="28" spans="1:7" x14ac:dyDescent="0.2">
      <c r="A28" s="515" t="s">
        <v>35</v>
      </c>
      <c r="B28" s="535">
        <v>19</v>
      </c>
      <c r="C28" s="524">
        <v>-4026.3117499999998</v>
      </c>
      <c r="D28" s="524">
        <v>-8724.4247100000011</v>
      </c>
      <c r="E28" s="524">
        <v>-5439</v>
      </c>
      <c r="G28" s="552"/>
    </row>
    <row r="29" spans="1:7" x14ac:dyDescent="0.2">
      <c r="A29" s="515" t="s">
        <v>25</v>
      </c>
      <c r="C29" s="524">
        <v>-853.28695999999991</v>
      </c>
      <c r="D29" s="524">
        <v>-806.08491000000004</v>
      </c>
      <c r="E29" s="524">
        <v>-723</v>
      </c>
    </row>
    <row r="30" spans="1:7" ht="12.75" thickBot="1" x14ac:dyDescent="0.25">
      <c r="B30" s="535" t="s">
        <v>3</v>
      </c>
      <c r="C30" s="526"/>
      <c r="D30" s="526"/>
      <c r="E30" s="568"/>
    </row>
    <row r="31" spans="1:7" ht="12.75" thickBot="1" x14ac:dyDescent="0.25">
      <c r="A31" s="515" t="s">
        <v>26</v>
      </c>
      <c r="B31" s="535"/>
      <c r="C31" s="526">
        <v>30486.861270000005</v>
      </c>
      <c r="D31" s="526">
        <v>40106.396420000019</v>
      </c>
      <c r="E31" s="526">
        <v>30545.605269999993</v>
      </c>
    </row>
    <row r="33" spans="1:4" hidden="1" x14ac:dyDescent="0.2">
      <c r="C33" s="554"/>
    </row>
    <row r="34" spans="1:4" ht="12.75" hidden="1" thickBot="1" x14ac:dyDescent="0.25"/>
    <row r="35" spans="1:4" hidden="1" x14ac:dyDescent="0.2">
      <c r="A35" s="619" t="s">
        <v>2385</v>
      </c>
      <c r="B35" s="620"/>
      <c r="C35" s="621"/>
    </row>
    <row r="36" spans="1:4" hidden="1" x14ac:dyDescent="0.2">
      <c r="A36" s="569"/>
      <c r="B36" s="570"/>
      <c r="C36" s="571"/>
    </row>
    <row r="37" spans="1:4" hidden="1" x14ac:dyDescent="0.2">
      <c r="A37" s="622" t="s">
        <v>2386</v>
      </c>
      <c r="B37" s="623"/>
      <c r="C37" s="624"/>
    </row>
    <row r="38" spans="1:4" hidden="1" x14ac:dyDescent="0.2">
      <c r="A38" s="622" t="s">
        <v>2387</v>
      </c>
      <c r="B38" s="623"/>
      <c r="C38" s="624"/>
    </row>
    <row r="39" spans="1:4" hidden="1" x14ac:dyDescent="0.2">
      <c r="A39" s="569"/>
      <c r="B39" s="570"/>
      <c r="C39" s="542"/>
      <c r="D39" s="524"/>
    </row>
    <row r="40" spans="1:4" hidden="1" x14ac:dyDescent="0.2">
      <c r="A40" s="569" t="s">
        <v>2388</v>
      </c>
      <c r="B40" s="570"/>
      <c r="C40" s="543" t="e">
        <v>#REF!</v>
      </c>
      <c r="D40" s="524"/>
    </row>
    <row r="41" spans="1:4" ht="14.25" hidden="1" x14ac:dyDescent="0.2">
      <c r="A41" s="569" t="s">
        <v>2389</v>
      </c>
      <c r="B41" s="570"/>
      <c r="C41" s="544" t="e">
        <v>#REF!</v>
      </c>
    </row>
    <row r="42" spans="1:4" hidden="1" x14ac:dyDescent="0.2">
      <c r="A42" s="569" t="s">
        <v>2390</v>
      </c>
      <c r="B42" s="570"/>
      <c r="C42" s="572" t="e">
        <v>#REF!</v>
      </c>
    </row>
    <row r="43" spans="1:4" hidden="1" x14ac:dyDescent="0.2">
      <c r="A43" s="569" t="s">
        <v>2391</v>
      </c>
      <c r="B43" s="570"/>
      <c r="C43" s="572" t="e">
        <v>#REF!</v>
      </c>
    </row>
    <row r="44" spans="1:4" hidden="1" x14ac:dyDescent="0.2">
      <c r="A44" s="569" t="s">
        <v>2392</v>
      </c>
      <c r="B44" s="570"/>
      <c r="C44" s="572" t="e">
        <v>#REF!</v>
      </c>
    </row>
    <row r="45" spans="1:4" ht="12.75" hidden="1" thickBot="1" x14ac:dyDescent="0.25">
      <c r="A45" s="573" t="s">
        <v>2393</v>
      </c>
      <c r="B45" s="574"/>
      <c r="C45" s="575" t="e">
        <v>#REF!</v>
      </c>
    </row>
    <row r="46" spans="1:4" hidden="1" x14ac:dyDescent="0.2">
      <c r="C46" s="554"/>
    </row>
    <row r="47" spans="1:4" hidden="1" x14ac:dyDescent="0.2">
      <c r="C47" s="554"/>
    </row>
    <row r="48" spans="1:4" hidden="1" x14ac:dyDescent="0.2"/>
    <row r="49" spans="1:14" hidden="1" x14ac:dyDescent="0.2">
      <c r="A49" s="576" t="s">
        <v>2173</v>
      </c>
      <c r="B49" s="517"/>
      <c r="C49" s="576"/>
      <c r="D49" s="577"/>
      <c r="E49" s="577"/>
      <c r="F49" s="577"/>
    </row>
    <row r="50" spans="1:14" hidden="1" x14ac:dyDescent="0.2"/>
    <row r="51" spans="1:14" hidden="1" x14ac:dyDescent="0.2"/>
    <row r="52" spans="1:14" x14ac:dyDescent="0.2">
      <c r="A52" s="578"/>
    </row>
    <row r="53" spans="1:14" x14ac:dyDescent="0.2">
      <c r="A53" s="549" t="s">
        <v>2173</v>
      </c>
    </row>
    <row r="54" spans="1:14" x14ac:dyDescent="0.2">
      <c r="A54" s="515"/>
    </row>
    <row r="55" spans="1:14" ht="18.75" customHeight="1" x14ac:dyDescent="0.2">
      <c r="A55" s="625"/>
      <c r="B55" s="625"/>
      <c r="C55" s="625"/>
      <c r="D55" s="625"/>
      <c r="E55" s="625"/>
      <c r="F55" s="625"/>
      <c r="G55" s="625"/>
      <c r="H55" s="625"/>
      <c r="I55" s="625"/>
      <c r="J55" s="625"/>
      <c r="K55" s="625"/>
      <c r="L55" s="625"/>
      <c r="M55" s="625"/>
      <c r="N55" s="625"/>
    </row>
    <row r="57" spans="1:14" x14ac:dyDescent="0.2">
      <c r="A57" s="515"/>
    </row>
    <row r="58" spans="1:14" x14ac:dyDescent="0.2">
      <c r="A58" s="515"/>
    </row>
    <row r="60" spans="1:14" x14ac:dyDescent="0.2">
      <c r="A60" s="515"/>
    </row>
    <row r="62" spans="1:14" x14ac:dyDescent="0.2">
      <c r="A62" s="515"/>
    </row>
    <row r="63" spans="1:14" x14ac:dyDescent="0.2">
      <c r="A63" s="515"/>
    </row>
    <row r="65" spans="1:1" x14ac:dyDescent="0.2">
      <c r="A65" s="515"/>
    </row>
    <row r="67" spans="1:1" x14ac:dyDescent="0.2">
      <c r="A67" s="515"/>
    </row>
    <row r="69" spans="1:1" x14ac:dyDescent="0.2">
      <c r="A69" s="515"/>
    </row>
    <row r="71" spans="1:1" x14ac:dyDescent="0.2">
      <c r="A71" s="515"/>
    </row>
    <row r="101" spans="1:3" x14ac:dyDescent="0.2">
      <c r="A101" s="559" t="s">
        <v>4967</v>
      </c>
      <c r="C101" s="551">
        <v>-30486.861280000001</v>
      </c>
    </row>
  </sheetData>
  <mergeCells count="4">
    <mergeCell ref="A35:C35"/>
    <mergeCell ref="A37:C37"/>
    <mergeCell ref="A38:C38"/>
    <mergeCell ref="A55:N55"/>
  </mergeCells>
  <pageMargins left="0.511811024" right="0.511811024" top="0.78740157499999996" bottom="0.78740157499999996" header="0.31496062000000002" footer="0.31496062000000002"/>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F37"/>
  <sheetViews>
    <sheetView zoomScaleNormal="100" workbookViewId="0">
      <selection sqref="A1:XFD1048576"/>
    </sheetView>
  </sheetViews>
  <sheetFormatPr defaultRowHeight="15" x14ac:dyDescent="0.25"/>
  <cols>
    <col min="1" max="1" width="29.42578125" customWidth="1"/>
    <col min="2" max="2" width="22.7109375" customWidth="1"/>
    <col min="3" max="3" width="13.7109375" customWidth="1"/>
    <col min="4" max="4" width="13" customWidth="1"/>
    <col min="5" max="5" width="12" customWidth="1"/>
    <col min="6" max="6" width="12.85546875" customWidth="1"/>
  </cols>
  <sheetData>
    <row r="1" spans="1:6" x14ac:dyDescent="0.25">
      <c r="A1" s="249" t="s">
        <v>2719</v>
      </c>
      <c r="B1" s="250"/>
      <c r="C1" s="251"/>
      <c r="D1" s="204"/>
      <c r="E1" s="193"/>
      <c r="F1" s="182"/>
    </row>
    <row r="2" spans="1:6" x14ac:dyDescent="0.25">
      <c r="A2" s="249" t="s">
        <v>2720</v>
      </c>
      <c r="B2" s="250"/>
      <c r="C2" s="251"/>
      <c r="D2" s="204"/>
      <c r="E2" s="193"/>
      <c r="F2" s="182"/>
    </row>
    <row r="3" spans="1:6" x14ac:dyDescent="0.25">
      <c r="A3" s="212"/>
      <c r="B3" s="213"/>
      <c r="C3" s="177"/>
      <c r="D3" s="177"/>
      <c r="E3" s="701" t="s">
        <v>176</v>
      </c>
      <c r="F3" s="701"/>
    </row>
    <row r="4" spans="1:6" x14ac:dyDescent="0.25">
      <c r="A4" s="188"/>
      <c r="B4" s="206"/>
      <c r="C4" s="214" t="s">
        <v>2707</v>
      </c>
      <c r="D4" s="214" t="s">
        <v>2721</v>
      </c>
      <c r="E4" s="214"/>
      <c r="F4" s="214"/>
    </row>
    <row r="5" spans="1:6" x14ac:dyDescent="0.25">
      <c r="A5" s="188"/>
      <c r="B5" s="206"/>
      <c r="C5" s="178" t="s">
        <v>2708</v>
      </c>
      <c r="D5" s="178" t="s">
        <v>2709</v>
      </c>
      <c r="E5" s="178">
        <v>2020</v>
      </c>
      <c r="F5" s="178">
        <v>2019</v>
      </c>
    </row>
    <row r="6" spans="1:6" x14ac:dyDescent="0.25">
      <c r="A6" s="181" t="s">
        <v>2722</v>
      </c>
      <c r="B6" s="215"/>
      <c r="C6" s="215"/>
      <c r="D6" s="215"/>
      <c r="E6" s="215"/>
      <c r="F6" s="215"/>
    </row>
    <row r="7" spans="1:6" x14ac:dyDescent="0.25">
      <c r="A7" s="181" t="s">
        <v>188</v>
      </c>
      <c r="B7" s="180"/>
      <c r="C7" s="216">
        <v>143978462.31999999</v>
      </c>
      <c r="D7" s="422">
        <f>'9. Imobilizado'!D13</f>
        <v>-50213</v>
      </c>
      <c r="E7" s="192">
        <v>93764746.449999988</v>
      </c>
      <c r="F7" s="193">
        <v>97476</v>
      </c>
    </row>
    <row r="8" spans="1:6" x14ac:dyDescent="0.25">
      <c r="A8" s="181" t="s">
        <v>189</v>
      </c>
      <c r="B8" s="180"/>
      <c r="C8" s="195">
        <v>3127824.63</v>
      </c>
      <c r="D8" s="195">
        <v>-1521867.76</v>
      </c>
      <c r="E8" s="196">
        <v>1605956.8699999999</v>
      </c>
      <c r="F8" s="187">
        <v>1532</v>
      </c>
    </row>
    <row r="9" spans="1:6" x14ac:dyDescent="0.25">
      <c r="A9" s="188"/>
      <c r="B9" s="180"/>
      <c r="C9" s="197">
        <v>147106286.94999999</v>
      </c>
      <c r="D9" s="198">
        <f>'9. Imobilizado'!D27</f>
        <v>-51735</v>
      </c>
      <c r="E9" s="209">
        <v>95370703.319999993</v>
      </c>
      <c r="F9" s="210">
        <v>99008</v>
      </c>
    </row>
    <row r="10" spans="1:6" x14ac:dyDescent="0.25">
      <c r="A10" s="188"/>
      <c r="B10" s="217"/>
      <c r="C10" s="203"/>
      <c r="D10" s="202"/>
      <c r="E10" s="183"/>
      <c r="F10" s="193"/>
    </row>
    <row r="11" spans="1:6" x14ac:dyDescent="0.25">
      <c r="A11" s="180" t="s">
        <v>190</v>
      </c>
      <c r="B11" s="180"/>
      <c r="C11" s="218"/>
      <c r="D11" s="218"/>
      <c r="E11" s="218"/>
      <c r="F11" s="193"/>
    </row>
    <row r="12" spans="1:6" x14ac:dyDescent="0.25">
      <c r="A12" s="180" t="s">
        <v>188</v>
      </c>
      <c r="B12" s="180"/>
      <c r="C12" s="219">
        <v>5284291.0599999996</v>
      </c>
      <c r="D12" s="219">
        <v>0</v>
      </c>
      <c r="E12" s="192">
        <v>5284291.0599999996</v>
      </c>
      <c r="F12" s="210">
        <v>4250</v>
      </c>
    </row>
    <row r="13" spans="1:6" x14ac:dyDescent="0.25">
      <c r="A13" s="180" t="s">
        <v>189</v>
      </c>
      <c r="B13" s="180"/>
      <c r="C13" s="220">
        <v>273630</v>
      </c>
      <c r="D13" s="220">
        <v>0</v>
      </c>
      <c r="E13" s="196">
        <v>273630</v>
      </c>
      <c r="F13" s="221">
        <v>66</v>
      </c>
    </row>
    <row r="14" spans="1:6" x14ac:dyDescent="0.25">
      <c r="A14" s="180"/>
      <c r="B14" s="180"/>
      <c r="C14" s="222">
        <v>5557921.0599999996</v>
      </c>
      <c r="D14" s="222">
        <v>0</v>
      </c>
      <c r="E14" s="222">
        <v>5557921.0599999996</v>
      </c>
      <c r="F14" s="210">
        <v>4316</v>
      </c>
    </row>
    <row r="15" spans="1:6" x14ac:dyDescent="0.25">
      <c r="A15" s="180"/>
      <c r="B15" s="180"/>
      <c r="C15" s="219"/>
      <c r="D15" s="219"/>
      <c r="E15" s="192"/>
      <c r="F15" s="210"/>
    </row>
    <row r="16" spans="1:6" ht="15.75" thickBot="1" x14ac:dyDescent="0.3">
      <c r="A16" s="180"/>
      <c r="B16" s="180"/>
      <c r="C16" s="223">
        <f>+C9+C14</f>
        <v>152664208.00999999</v>
      </c>
      <c r="D16" s="424">
        <f>+D9+D14</f>
        <v>-51735</v>
      </c>
      <c r="E16" s="223">
        <f>+E9+E14</f>
        <v>100928624.38</v>
      </c>
      <c r="F16" s="224">
        <f>+F9+F14</f>
        <v>103324</v>
      </c>
    </row>
    <row r="17" spans="1:6" ht="15.75" thickTop="1" x14ac:dyDescent="0.25">
      <c r="A17" s="180"/>
      <c r="B17" s="217"/>
      <c r="C17" s="225"/>
      <c r="D17" s="226"/>
      <c r="E17" s="226"/>
      <c r="F17" s="227"/>
    </row>
    <row r="18" spans="1:6" x14ac:dyDescent="0.25">
      <c r="A18" s="252" t="s">
        <v>2723</v>
      </c>
      <c r="B18" s="252"/>
      <c r="C18" s="253"/>
      <c r="D18" s="229"/>
      <c r="E18" s="229"/>
      <c r="F18" s="230"/>
    </row>
    <row r="19" spans="1:6" x14ac:dyDescent="0.25">
      <c r="A19" s="252" t="s">
        <v>2724</v>
      </c>
      <c r="B19" s="250"/>
      <c r="C19" s="254"/>
      <c r="D19" s="208"/>
      <c r="E19" s="208"/>
      <c r="F19" s="231"/>
    </row>
    <row r="20" spans="1:6" x14ac:dyDescent="0.25">
      <c r="A20" s="213"/>
      <c r="B20" s="191"/>
      <c r="C20" s="232"/>
      <c r="D20" s="233"/>
      <c r="E20" s="233"/>
      <c r="F20" s="232"/>
    </row>
    <row r="21" spans="1:6" x14ac:dyDescent="0.25">
      <c r="A21" s="180"/>
      <c r="B21" s="191"/>
      <c r="C21" s="232"/>
      <c r="D21" s="233"/>
      <c r="E21" s="233"/>
      <c r="F21" s="232"/>
    </row>
    <row r="22" spans="1:6" x14ac:dyDescent="0.25">
      <c r="A22" s="180"/>
      <c r="B22" s="234" t="s">
        <v>2564</v>
      </c>
      <c r="C22" s="234" t="s">
        <v>191</v>
      </c>
      <c r="D22" s="234" t="s">
        <v>192</v>
      </c>
      <c r="E22" s="235" t="s">
        <v>193</v>
      </c>
      <c r="F22" s="234" t="s">
        <v>2746</v>
      </c>
    </row>
    <row r="23" spans="1:6" x14ac:dyDescent="0.25">
      <c r="A23" s="180"/>
      <c r="B23" s="236"/>
      <c r="C23" s="237"/>
      <c r="D23" s="238"/>
      <c r="E23" s="237"/>
      <c r="F23" s="237"/>
    </row>
    <row r="24" spans="1:6" x14ac:dyDescent="0.25">
      <c r="A24" s="180" t="s">
        <v>177</v>
      </c>
      <c r="B24" s="239">
        <v>2115671.13</v>
      </c>
      <c r="C24" s="231">
        <v>208</v>
      </c>
      <c r="D24" s="219">
        <v>0</v>
      </c>
      <c r="E24" s="219">
        <v>0</v>
      </c>
      <c r="F24" s="426">
        <v>2324</v>
      </c>
    </row>
    <row r="25" spans="1:6" x14ac:dyDescent="0.25">
      <c r="A25" s="180" t="s">
        <v>179</v>
      </c>
      <c r="B25" s="239">
        <v>22768871.210000001</v>
      </c>
      <c r="C25" s="219">
        <v>0</v>
      </c>
      <c r="D25" s="219">
        <v>0</v>
      </c>
      <c r="E25" s="219">
        <v>0</v>
      </c>
      <c r="F25" s="240">
        <v>22768871.210000001</v>
      </c>
    </row>
    <row r="26" spans="1:6" x14ac:dyDescent="0.25">
      <c r="A26" s="180" t="s">
        <v>180</v>
      </c>
      <c r="B26" s="239">
        <v>68971354.339999989</v>
      </c>
      <c r="C26" s="219">
        <v>27642</v>
      </c>
      <c r="D26" s="219">
        <v>-9960.3799999999992</v>
      </c>
      <c r="E26" s="219">
        <v>0</v>
      </c>
      <c r="F26" s="240">
        <v>68989035.959999993</v>
      </c>
    </row>
    <row r="27" spans="1:6" x14ac:dyDescent="0.25">
      <c r="A27" s="180" t="s">
        <v>181</v>
      </c>
      <c r="B27" s="239">
        <v>82680764.049999997</v>
      </c>
      <c r="C27" s="219">
        <v>92000</v>
      </c>
      <c r="D27" s="219">
        <v>0</v>
      </c>
      <c r="E27" s="219">
        <v>0</v>
      </c>
      <c r="F27" s="240">
        <v>82772764.049999997</v>
      </c>
    </row>
    <row r="28" spans="1:6" x14ac:dyDescent="0.25">
      <c r="A28" s="180" t="s">
        <v>182</v>
      </c>
      <c r="B28" s="239">
        <v>442611.71</v>
      </c>
      <c r="C28" s="219">
        <v>0</v>
      </c>
      <c r="D28" s="219">
        <v>0</v>
      </c>
      <c r="E28" s="219">
        <v>0</v>
      </c>
      <c r="F28" s="240">
        <v>442611.71</v>
      </c>
    </row>
    <row r="29" spans="1:6" x14ac:dyDescent="0.25">
      <c r="A29" s="180" t="s">
        <v>2725</v>
      </c>
      <c r="B29" s="239">
        <v>357111.15</v>
      </c>
      <c r="C29" s="219">
        <v>0</v>
      </c>
      <c r="D29" s="219">
        <v>0</v>
      </c>
      <c r="E29" s="219">
        <v>0</v>
      </c>
      <c r="F29" s="240">
        <v>357111.15</v>
      </c>
    </row>
    <row r="30" spans="1:6" x14ac:dyDescent="0.25">
      <c r="A30" s="180" t="s">
        <v>2726</v>
      </c>
      <c r="B30" s="239">
        <v>1085424.51</v>
      </c>
      <c r="C30" s="219">
        <v>0</v>
      </c>
      <c r="D30" s="219">
        <v>0</v>
      </c>
      <c r="E30" s="219">
        <v>0</v>
      </c>
      <c r="F30" s="240">
        <v>1085424.51</v>
      </c>
    </row>
    <row r="31" spans="1:6" ht="23.25" x14ac:dyDescent="0.25">
      <c r="A31" s="241" t="s">
        <v>2727</v>
      </c>
      <c r="B31" s="242">
        <v>-31634243.379999999</v>
      </c>
      <c r="C31" s="220">
        <v>0</v>
      </c>
      <c r="D31" s="220">
        <v>0</v>
      </c>
      <c r="E31" s="220">
        <v>0</v>
      </c>
      <c r="F31" s="243">
        <v>-31634243.379999999</v>
      </c>
    </row>
    <row r="32" spans="1:6" x14ac:dyDescent="0.25">
      <c r="A32" s="244"/>
      <c r="B32" s="240">
        <v>146787564.72</v>
      </c>
      <c r="C32" s="231">
        <v>328</v>
      </c>
      <c r="D32" s="240">
        <v>-9960.3799999999992</v>
      </c>
      <c r="E32" s="240">
        <v>0</v>
      </c>
      <c r="F32" s="426">
        <v>147106</v>
      </c>
    </row>
    <row r="33" spans="1:6" x14ac:dyDescent="0.25">
      <c r="A33" s="245"/>
      <c r="B33" s="246"/>
      <c r="C33" s="246"/>
      <c r="D33" s="246"/>
      <c r="E33" s="246"/>
      <c r="F33" s="246"/>
    </row>
    <row r="34" spans="1:6" x14ac:dyDescent="0.25">
      <c r="A34" s="180" t="s">
        <v>186</v>
      </c>
      <c r="B34" s="243">
        <v>4316018.5299999993</v>
      </c>
      <c r="C34" s="243">
        <v>1570585.14</v>
      </c>
      <c r="D34" s="243">
        <v>0</v>
      </c>
      <c r="E34" s="243">
        <v>-328682.61</v>
      </c>
      <c r="F34" s="243">
        <v>5557921.0599999987</v>
      </c>
    </row>
    <row r="35" spans="1:6" x14ac:dyDescent="0.25">
      <c r="A35" s="245"/>
      <c r="B35" s="246"/>
      <c r="C35" s="246"/>
      <c r="D35" s="246"/>
      <c r="E35" s="246"/>
      <c r="F35" s="246"/>
    </row>
    <row r="36" spans="1:6" ht="15.75" thickBot="1" x14ac:dyDescent="0.3">
      <c r="A36" s="191"/>
      <c r="B36" s="247">
        <f t="shared" ref="B36" si="0">+B32+B34</f>
        <v>151103583.25</v>
      </c>
      <c r="C36" s="425">
        <v>1899</v>
      </c>
      <c r="D36" s="247">
        <f>+D32+D34</f>
        <v>-9960.3799999999992</v>
      </c>
      <c r="E36" s="248">
        <f>+E32+E34</f>
        <v>-328682.61</v>
      </c>
      <c r="F36" s="425">
        <v>152664</v>
      </c>
    </row>
    <row r="37" spans="1:6" ht="15.75" thickTop="1" x14ac:dyDescent="0.25"/>
  </sheetData>
  <mergeCells count="1">
    <mergeCell ref="E3:F3"/>
  </mergeCells>
  <pageMargins left="0.511811024" right="0.511811024" top="0.78740157499999996" bottom="0.78740157499999996" header="0.31496062000000002" footer="0.31496062000000002"/>
  <pageSetup paperSize="9" scale="7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E13"/>
  <sheetViews>
    <sheetView zoomScaleNormal="100" workbookViewId="0">
      <selection sqref="A1:XFD1048576"/>
    </sheetView>
  </sheetViews>
  <sheetFormatPr defaultRowHeight="15" x14ac:dyDescent="0.25"/>
  <cols>
    <col min="1" max="1" width="32.7109375" customWidth="1"/>
    <col min="2" max="2" width="11" customWidth="1"/>
    <col min="3" max="3" width="13.140625" customWidth="1"/>
    <col min="4" max="4" width="11.140625" customWidth="1"/>
    <col min="5" max="5" width="11.28515625" customWidth="1"/>
  </cols>
  <sheetData>
    <row r="1" spans="1:5" x14ac:dyDescent="0.25">
      <c r="A1" s="228" t="s">
        <v>2730</v>
      </c>
      <c r="B1" s="244"/>
      <c r="C1" s="231"/>
      <c r="D1" s="259"/>
      <c r="E1" s="259"/>
    </row>
    <row r="2" spans="1:5" x14ac:dyDescent="0.25">
      <c r="A2" s="228" t="s">
        <v>2731</v>
      </c>
      <c r="B2" s="244"/>
      <c r="C2" s="231"/>
      <c r="D2" s="259"/>
      <c r="E2" s="259"/>
    </row>
    <row r="3" spans="1:5" x14ac:dyDescent="0.25">
      <c r="A3" s="213"/>
      <c r="B3" s="260"/>
      <c r="C3" s="232"/>
      <c r="D3" s="258"/>
      <c r="E3" s="258"/>
    </row>
    <row r="4" spans="1:5" x14ac:dyDescent="0.25">
      <c r="A4" s="191"/>
      <c r="B4" s="255" t="s">
        <v>2564</v>
      </c>
      <c r="C4" s="256" t="s">
        <v>2728</v>
      </c>
      <c r="D4" s="257" t="s">
        <v>192</v>
      </c>
      <c r="E4" s="255" t="s">
        <v>2746</v>
      </c>
    </row>
    <row r="5" spans="1:5" x14ac:dyDescent="0.25">
      <c r="A5" s="191"/>
      <c r="B5" s="232"/>
      <c r="C5" s="232"/>
      <c r="D5" s="258" t="s">
        <v>2399</v>
      </c>
      <c r="E5" s="258"/>
    </row>
    <row r="6" spans="1:5" x14ac:dyDescent="0.25">
      <c r="A6" s="191" t="s">
        <v>181</v>
      </c>
      <c r="B6" s="240">
        <v>-19117268.27</v>
      </c>
      <c r="C6" s="240">
        <v>-1813979.2</v>
      </c>
      <c r="D6" s="199">
        <v>0</v>
      </c>
      <c r="E6" s="240">
        <v>-20931247.469999999</v>
      </c>
    </row>
    <row r="7" spans="1:5" x14ac:dyDescent="0.25">
      <c r="A7" s="191" t="s">
        <v>179</v>
      </c>
      <c r="B7" s="240">
        <v>-7728847.5600000005</v>
      </c>
      <c r="C7" s="240">
        <v>-616687.95000000007</v>
      </c>
      <c r="D7" s="199">
        <v>0</v>
      </c>
      <c r="E7" s="240">
        <v>-8345535.5100000007</v>
      </c>
    </row>
    <row r="8" spans="1:5" x14ac:dyDescent="0.25">
      <c r="A8" s="191" t="s">
        <v>180</v>
      </c>
      <c r="B8" s="239">
        <v>-26647630.949999999</v>
      </c>
      <c r="C8" s="239">
        <v>-2355358.7400000002</v>
      </c>
      <c r="D8" s="199">
        <v>0</v>
      </c>
      <c r="E8" s="240">
        <v>-29002989.689999998</v>
      </c>
    </row>
    <row r="9" spans="1:5" x14ac:dyDescent="0.25">
      <c r="A9" s="191" t="s">
        <v>182</v>
      </c>
      <c r="B9" s="239">
        <v>-228953.57</v>
      </c>
      <c r="C9" s="240">
        <v>-40934.759999999995</v>
      </c>
      <c r="D9" s="199">
        <v>0</v>
      </c>
      <c r="E9" s="240">
        <v>-269888.33</v>
      </c>
    </row>
    <row r="10" spans="1:5" x14ac:dyDescent="0.25">
      <c r="A10" s="191" t="s">
        <v>2725</v>
      </c>
      <c r="B10" s="239">
        <v>-265991.41000000003</v>
      </c>
      <c r="C10" s="240">
        <v>-21479.86</v>
      </c>
      <c r="D10" s="199">
        <v>0</v>
      </c>
      <c r="E10" s="240">
        <v>-287471.27</v>
      </c>
    </row>
    <row r="11" spans="1:5" x14ac:dyDescent="0.25">
      <c r="A11" s="191" t="s">
        <v>2729</v>
      </c>
      <c r="B11" s="239">
        <v>6582648.5700000003</v>
      </c>
      <c r="C11" s="240">
        <v>930511.58</v>
      </c>
      <c r="D11" s="199"/>
      <c r="E11" s="426">
        <v>7514</v>
      </c>
    </row>
    <row r="12" spans="1:5" x14ac:dyDescent="0.25">
      <c r="A12" s="191" t="s">
        <v>2726</v>
      </c>
      <c r="B12" s="242">
        <v>-373868.67</v>
      </c>
      <c r="C12" s="196">
        <v>-37934.76</v>
      </c>
      <c r="D12" s="196">
        <v>0</v>
      </c>
      <c r="E12" s="243">
        <v>-411803.43</v>
      </c>
    </row>
    <row r="13" spans="1:5" x14ac:dyDescent="0.25">
      <c r="A13" s="213"/>
      <c r="B13" s="239">
        <v>-47779911.859999999</v>
      </c>
      <c r="C13" s="427">
        <v>-3955</v>
      </c>
      <c r="D13" s="209">
        <v>0</v>
      </c>
      <c r="E13" s="427">
        <v>-51735</v>
      </c>
    </row>
  </sheetData>
  <pageMargins left="0.511811024" right="0.511811024" top="0.78740157499999996" bottom="0.78740157499999996" header="0.31496062000000002" footer="0.31496062000000002"/>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H29"/>
  <sheetViews>
    <sheetView zoomScaleNormal="100" workbookViewId="0">
      <selection sqref="A1:XFD1048576"/>
    </sheetView>
  </sheetViews>
  <sheetFormatPr defaultRowHeight="15" x14ac:dyDescent="0.25"/>
  <cols>
    <col min="1" max="1" width="17.28515625" bestFit="1" customWidth="1"/>
    <col min="2" max="2" width="10.5703125" bestFit="1" customWidth="1"/>
    <col min="7" max="7" width="10.85546875" bestFit="1" customWidth="1"/>
  </cols>
  <sheetData>
    <row r="1" spans="1:8" x14ac:dyDescent="0.25">
      <c r="A1" s="261" t="s">
        <v>2732</v>
      </c>
      <c r="B1" s="262"/>
      <c r="C1" s="262"/>
      <c r="D1" s="262"/>
      <c r="E1" s="262"/>
      <c r="F1" s="262"/>
    </row>
    <row r="2" spans="1:8" x14ac:dyDescent="0.25">
      <c r="A2" s="191"/>
      <c r="B2" s="213"/>
      <c r="C2" s="213"/>
      <c r="D2" s="213"/>
      <c r="E2" s="702" t="s">
        <v>194</v>
      </c>
      <c r="F2" s="702"/>
    </row>
    <row r="3" spans="1:8" x14ac:dyDescent="0.25">
      <c r="A3" s="263"/>
      <c r="B3" s="207" t="s">
        <v>2706</v>
      </c>
      <c r="C3" s="264" t="s">
        <v>2707</v>
      </c>
      <c r="D3" s="264" t="s">
        <v>196</v>
      </c>
      <c r="E3" s="264"/>
      <c r="F3" s="212"/>
    </row>
    <row r="4" spans="1:8" x14ac:dyDescent="0.25">
      <c r="A4" s="265" t="s">
        <v>12</v>
      </c>
      <c r="B4" s="179" t="s">
        <v>2582</v>
      </c>
      <c r="C4" s="179" t="s">
        <v>2708</v>
      </c>
      <c r="D4" s="179" t="s">
        <v>2709</v>
      </c>
      <c r="E4" s="179">
        <v>2020</v>
      </c>
      <c r="F4" s="179">
        <v>2019</v>
      </c>
    </row>
    <row r="5" spans="1:8" x14ac:dyDescent="0.25">
      <c r="A5" s="263"/>
      <c r="B5" s="191"/>
      <c r="C5" s="191"/>
      <c r="D5" s="191"/>
      <c r="E5" s="191"/>
      <c r="F5" s="191"/>
    </row>
    <row r="6" spans="1:8" x14ac:dyDescent="0.25">
      <c r="A6" s="194" t="s">
        <v>2733</v>
      </c>
      <c r="B6" s="185">
        <v>0.2</v>
      </c>
      <c r="C6" s="192">
        <v>95375663.620000005</v>
      </c>
      <c r="D6" s="192">
        <v>-38265729.170000002</v>
      </c>
      <c r="E6" s="192">
        <v>57109934.450000003</v>
      </c>
      <c r="F6" s="193">
        <v>57794</v>
      </c>
    </row>
    <row r="7" spans="1:8" x14ac:dyDescent="0.25">
      <c r="A7" s="194" t="s">
        <v>2734</v>
      </c>
      <c r="B7" s="185">
        <v>0.2</v>
      </c>
      <c r="C7" s="195">
        <v>296136.57</v>
      </c>
      <c r="D7" s="195">
        <v>-256678.39999999999</v>
      </c>
      <c r="E7" s="196">
        <v>39458.170000000013</v>
      </c>
      <c r="F7" s="187">
        <v>636</v>
      </c>
    </row>
    <row r="8" spans="1:8" x14ac:dyDescent="0.25">
      <c r="A8" s="266"/>
      <c r="B8" s="263"/>
      <c r="C8" s="267"/>
      <c r="D8" s="267"/>
      <c r="E8" s="192">
        <v>0</v>
      </c>
      <c r="F8" s="268">
        <v>0</v>
      </c>
    </row>
    <row r="9" spans="1:8" ht="15.75" thickBot="1" x14ac:dyDescent="0.3">
      <c r="A9" s="266" t="s">
        <v>2735</v>
      </c>
      <c r="B9" s="263"/>
      <c r="C9" s="269">
        <v>95671800.189999998</v>
      </c>
      <c r="D9" s="205">
        <v>-38523</v>
      </c>
      <c r="E9" s="269">
        <v>57149392.619999997</v>
      </c>
      <c r="F9" s="205">
        <v>58430</v>
      </c>
    </row>
    <row r="10" spans="1:8" ht="15.75" thickTop="1" x14ac:dyDescent="0.25"/>
    <row r="12" spans="1:8" x14ac:dyDescent="0.25">
      <c r="A12" s="89" t="s">
        <v>2718</v>
      </c>
      <c r="B12" s="89"/>
      <c r="C12" s="89"/>
      <c r="D12" s="89"/>
      <c r="E12" s="167" t="e">
        <f>SUM(#REF!)</f>
        <v>#REF!</v>
      </c>
      <c r="F12" s="167" t="e">
        <f>SUM(#REF!)</f>
        <v>#REF!</v>
      </c>
    </row>
    <row r="16" spans="1:8" x14ac:dyDescent="0.25">
      <c r="A16" s="295" t="s">
        <v>2736</v>
      </c>
      <c r="B16" s="296"/>
      <c r="C16" s="270"/>
      <c r="D16" s="270"/>
      <c r="E16" s="270"/>
      <c r="F16" s="270"/>
      <c r="G16" s="271"/>
      <c r="H16" s="271"/>
    </row>
    <row r="17" spans="1:8" x14ac:dyDescent="0.25">
      <c r="A17" s="272"/>
      <c r="B17" s="273"/>
      <c r="C17" s="274"/>
      <c r="D17" s="274"/>
      <c r="E17" s="274"/>
      <c r="F17" s="274"/>
      <c r="G17" s="274"/>
      <c r="H17" s="274"/>
    </row>
    <row r="18" spans="1:8" x14ac:dyDescent="0.25">
      <c r="A18" s="272"/>
      <c r="B18" s="275">
        <v>2019</v>
      </c>
      <c r="C18" s="275" t="s">
        <v>191</v>
      </c>
      <c r="D18" s="275" t="s">
        <v>196</v>
      </c>
      <c r="E18" s="275">
        <v>2019</v>
      </c>
      <c r="F18" s="275" t="s">
        <v>191</v>
      </c>
      <c r="G18" s="276" t="s">
        <v>196</v>
      </c>
      <c r="H18" s="276">
        <v>2020</v>
      </c>
    </row>
    <row r="19" spans="1:8" x14ac:dyDescent="0.25">
      <c r="A19" s="277"/>
      <c r="B19" s="278"/>
      <c r="C19" s="278"/>
      <c r="D19" s="278"/>
      <c r="E19" s="279"/>
      <c r="F19" s="278"/>
      <c r="G19" s="279"/>
      <c r="H19" s="279"/>
    </row>
    <row r="20" spans="1:8" x14ac:dyDescent="0.25">
      <c r="A20" s="280" t="s">
        <v>197</v>
      </c>
      <c r="B20" s="281">
        <f>SUM(3146.42)/1000</f>
        <v>3.14642</v>
      </c>
      <c r="C20" s="281">
        <v>0</v>
      </c>
      <c r="D20" s="281">
        <f>-820.8/1000</f>
        <v>-0.82079999999999997</v>
      </c>
      <c r="E20" s="282">
        <v>2325.6199999999981</v>
      </c>
      <c r="F20" s="282">
        <v>0</v>
      </c>
      <c r="G20" s="282">
        <v>-820.8</v>
      </c>
      <c r="H20" s="428">
        <f>1504.82/1000-1</f>
        <v>0.50482000000000005</v>
      </c>
    </row>
    <row r="21" spans="1:8" x14ac:dyDescent="0.25">
      <c r="A21" s="280" t="s">
        <v>198</v>
      </c>
      <c r="B21" s="281">
        <f>SUM(61188600)/1000</f>
        <v>61188.6</v>
      </c>
      <c r="C21" s="281">
        <v>0</v>
      </c>
      <c r="D21" s="283">
        <f>-3399126.8/1000</f>
        <v>-3399.1268</v>
      </c>
      <c r="E21" s="428">
        <f>57789473.2/1000+1</f>
        <v>57790.4732</v>
      </c>
      <c r="F21" s="282">
        <v>6090653.3200000003</v>
      </c>
      <c r="G21" s="283">
        <f>-7311</f>
        <v>-7311</v>
      </c>
      <c r="H21" s="428">
        <v>56570</v>
      </c>
    </row>
    <row r="22" spans="1:8" x14ac:dyDescent="0.25">
      <c r="A22" s="280" t="s">
        <v>199</v>
      </c>
      <c r="B22" s="281">
        <f>1052.94/1000</f>
        <v>1.05294</v>
      </c>
      <c r="C22" s="281">
        <f>348856.72/1000</f>
        <v>348.85672</v>
      </c>
      <c r="D22" s="281">
        <v>0</v>
      </c>
      <c r="E22" s="282">
        <v>349909.66</v>
      </c>
      <c r="F22" s="428">
        <f>23518.44/1000</f>
        <v>23.518439999999998</v>
      </c>
      <c r="G22" s="283">
        <v>-53</v>
      </c>
      <c r="H22" s="428">
        <f>321164.92/1000</f>
        <v>321.16492</v>
      </c>
    </row>
    <row r="23" spans="1:8" x14ac:dyDescent="0.25">
      <c r="A23" s="280" t="s">
        <v>2737</v>
      </c>
      <c r="B23" s="281">
        <v>0</v>
      </c>
      <c r="C23" s="281">
        <f>203306.49/1000</f>
        <v>203.30649</v>
      </c>
      <c r="D23" s="281">
        <v>0</v>
      </c>
      <c r="E23" s="282">
        <v>203306.49</v>
      </c>
      <c r="F23" s="282">
        <v>13706.04</v>
      </c>
      <c r="G23" s="282">
        <v>-30457.9</v>
      </c>
      <c r="H23" s="428">
        <f>186554.63/1000</f>
        <v>186.55463</v>
      </c>
    </row>
    <row r="24" spans="1:8" x14ac:dyDescent="0.25">
      <c r="A24" s="280" t="s">
        <v>195</v>
      </c>
      <c r="B24" s="284">
        <f>99193.87/1000</f>
        <v>99.19386999999999</v>
      </c>
      <c r="C24" s="284">
        <f>5504/1000</f>
        <v>5.5039999999999996</v>
      </c>
      <c r="D24" s="285">
        <f>-20169.3/1000</f>
        <v>-20.1693</v>
      </c>
      <c r="E24" s="286">
        <v>84528.569999999992</v>
      </c>
      <c r="F24" s="286">
        <v>0</v>
      </c>
      <c r="G24" s="285">
        <v>-15</v>
      </c>
      <c r="H24" s="429">
        <f>70478.57/1000</f>
        <v>70.478570000000005</v>
      </c>
    </row>
    <row r="25" spans="1:8" x14ac:dyDescent="0.25">
      <c r="A25" s="277"/>
      <c r="B25" s="287"/>
      <c r="C25" s="287"/>
      <c r="D25" s="288"/>
      <c r="E25" s="289"/>
      <c r="F25" s="290"/>
      <c r="G25" s="289"/>
      <c r="H25" s="282">
        <v>0</v>
      </c>
    </row>
    <row r="26" spans="1:8" ht="15.75" thickBot="1" x14ac:dyDescent="0.3">
      <c r="A26" s="280" t="s">
        <v>2735</v>
      </c>
      <c r="B26" s="291">
        <f>SUM(B20:B24)</f>
        <v>61291.99323</v>
      </c>
      <c r="C26" s="292">
        <f>557667.21/1000</f>
        <v>557.66720999999995</v>
      </c>
      <c r="D26" s="292">
        <f>-3420116.9/1000</f>
        <v>-3420.1169</v>
      </c>
      <c r="E26" s="293">
        <v>58429543.539999999</v>
      </c>
      <c r="F26" s="430">
        <v>6129</v>
      </c>
      <c r="G26" s="292">
        <v>-7410</v>
      </c>
      <c r="H26" s="294">
        <v>57149392.590000011</v>
      </c>
    </row>
    <row r="27" spans="1:8" ht="15.75" thickTop="1" x14ac:dyDescent="0.25"/>
    <row r="29" spans="1:8" x14ac:dyDescent="0.25">
      <c r="A29" s="100" t="s">
        <v>2176</v>
      </c>
      <c r="B29" s="89"/>
      <c r="C29" s="89"/>
      <c r="D29" s="89"/>
      <c r="E29" s="211" t="e">
        <f>SUM(#REF!)</f>
        <v>#REF!</v>
      </c>
      <c r="F29" s="89"/>
      <c r="G29" s="89"/>
      <c r="H29" s="211" t="e">
        <f>SUM(#REF!)</f>
        <v>#REF!</v>
      </c>
    </row>
  </sheetData>
  <mergeCells count="1">
    <mergeCell ref="E2:F2"/>
  </mergeCells>
  <pageMargins left="0.511811024" right="0.511811024" top="0.78740157499999996" bottom="0.78740157499999996" header="0.31496062000000002" footer="0.31496062000000002"/>
  <pageSetup paperSize="9" scale="5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E15"/>
  <sheetViews>
    <sheetView zoomScaleNormal="100" workbookViewId="0">
      <selection sqref="A1:XFD1048576"/>
    </sheetView>
  </sheetViews>
  <sheetFormatPr defaultRowHeight="15" x14ac:dyDescent="0.25"/>
  <cols>
    <col min="1" max="1" width="45.5703125" customWidth="1"/>
    <col min="2" max="2" width="12.28515625" customWidth="1"/>
    <col min="3" max="3" width="13" customWidth="1"/>
    <col min="4" max="4" width="12.5703125" customWidth="1"/>
    <col min="5" max="5" width="13.5703125" customWidth="1"/>
    <col min="6" max="6" width="11.42578125" customWidth="1"/>
  </cols>
  <sheetData>
    <row r="1" spans="1:5" x14ac:dyDescent="0.25">
      <c r="A1" s="1" t="s">
        <v>105</v>
      </c>
    </row>
    <row r="2" spans="1:5" x14ac:dyDescent="0.25">
      <c r="A2" s="1" t="s">
        <v>2749</v>
      </c>
    </row>
    <row r="3" spans="1:5" x14ac:dyDescent="0.25">
      <c r="A3" s="1" t="s">
        <v>0</v>
      </c>
    </row>
    <row r="4" spans="1:5" x14ac:dyDescent="0.25">
      <c r="A4" s="2"/>
    </row>
    <row r="5" spans="1:5" x14ac:dyDescent="0.25">
      <c r="A5" s="27" t="s">
        <v>200</v>
      </c>
    </row>
    <row r="7" spans="1:5" ht="15.75" thickBot="1" x14ac:dyDescent="0.3">
      <c r="A7" s="3" t="s">
        <v>3</v>
      </c>
      <c r="B7" s="64">
        <v>2020</v>
      </c>
      <c r="C7" s="64">
        <v>2019</v>
      </c>
    </row>
    <row r="8" spans="1:5" x14ac:dyDescent="0.25">
      <c r="A8" s="3" t="s">
        <v>3</v>
      </c>
      <c r="B8" s="53"/>
      <c r="C8" s="18"/>
    </row>
    <row r="9" spans="1:5" x14ac:dyDescent="0.25">
      <c r="A9" s="3" t="s">
        <v>201</v>
      </c>
      <c r="B9" s="7" t="e">
        <f>SUM(#REF!)</f>
        <v>#REF!</v>
      </c>
      <c r="C9" s="7">
        <v>12190</v>
      </c>
    </row>
    <row r="10" spans="1:5" ht="15.75" thickBot="1" x14ac:dyDescent="0.3">
      <c r="A10" s="3" t="s">
        <v>202</v>
      </c>
      <c r="B10" s="13" t="e">
        <f>SUM(#REF!)</f>
        <v>#REF!</v>
      </c>
      <c r="C10" s="13">
        <v>167514</v>
      </c>
    </row>
    <row r="11" spans="1:5" ht="15.75" thickBot="1" x14ac:dyDescent="0.3">
      <c r="A11" s="3" t="s">
        <v>3</v>
      </c>
      <c r="B11" s="63" t="e">
        <f>SUM(B9:B10)</f>
        <v>#REF!</v>
      </c>
      <c r="C11" s="63">
        <v>179704</v>
      </c>
      <c r="E11" s="5"/>
    </row>
    <row r="12" spans="1:5" ht="15.75" thickTop="1" x14ac:dyDescent="0.25"/>
    <row r="14" spans="1:5" x14ac:dyDescent="0.25">
      <c r="A14" s="95" t="s">
        <v>2182</v>
      </c>
      <c r="B14" s="5" t="e">
        <f>SUM(#REF!)</f>
        <v>#REF!</v>
      </c>
      <c r="C14" s="5" t="e">
        <f>#REF!</f>
        <v>#REF!</v>
      </c>
    </row>
    <row r="15" spans="1:5" x14ac:dyDescent="0.25">
      <c r="A15" s="95" t="s">
        <v>2183</v>
      </c>
      <c r="B15" s="5" t="e">
        <f>#REF!</f>
        <v>#REF!</v>
      </c>
      <c r="C15" s="5" t="e">
        <f>#REF!</f>
        <v>#REF!</v>
      </c>
    </row>
  </sheetData>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C16"/>
  <sheetViews>
    <sheetView zoomScaleNormal="100" workbookViewId="0">
      <selection activeCell="J7" sqref="J7"/>
    </sheetView>
  </sheetViews>
  <sheetFormatPr defaultRowHeight="15" x14ac:dyDescent="0.25"/>
  <cols>
    <col min="1" max="1" width="45.5703125" customWidth="1"/>
    <col min="2" max="2" width="12.28515625" customWidth="1"/>
    <col min="3" max="3" width="14.85546875" customWidth="1"/>
    <col min="4" max="4" width="12.5703125" customWidth="1"/>
    <col min="5" max="5" width="13.5703125" customWidth="1"/>
    <col min="6" max="6" width="11.42578125"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203</v>
      </c>
    </row>
    <row r="7" spans="1:3" ht="15.75" thickBot="1" x14ac:dyDescent="0.3">
      <c r="A7" s="3" t="s">
        <v>3</v>
      </c>
      <c r="B7" s="65">
        <v>2020</v>
      </c>
      <c r="C7" s="64">
        <v>2019</v>
      </c>
    </row>
    <row r="8" spans="1:3" x14ac:dyDescent="0.25">
      <c r="A8" s="4" t="s">
        <v>3</v>
      </c>
      <c r="B8" s="30"/>
      <c r="C8" s="466" t="s">
        <v>4971</v>
      </c>
    </row>
    <row r="9" spans="1:3" x14ac:dyDescent="0.25">
      <c r="A9" s="4" t="s">
        <v>2187</v>
      </c>
      <c r="B9" s="6">
        <f>SUM(DRE!C31)</f>
        <v>30486.861270000005</v>
      </c>
      <c r="C9" s="6">
        <f>DRE!D31</f>
        <v>40106.396420000019</v>
      </c>
    </row>
    <row r="10" spans="1:3" ht="15.75" thickBot="1" x14ac:dyDescent="0.3">
      <c r="A10" s="4" t="s">
        <v>204</v>
      </c>
      <c r="B10" s="152">
        <f>-SUM(B9*5%)</f>
        <v>-1524.3430635000004</v>
      </c>
      <c r="C10" s="152">
        <f>-SUM(C9*5%)</f>
        <v>-2005.319821000001</v>
      </c>
    </row>
    <row r="11" spans="1:3" x14ac:dyDescent="0.25">
      <c r="A11" s="4" t="s">
        <v>205</v>
      </c>
      <c r="B11" s="6">
        <f>SUM(B9:B10)-1</f>
        <v>28961.518206500004</v>
      </c>
      <c r="C11" s="6">
        <f>SUM(C9:C10)</f>
        <v>38101.076599000022</v>
      </c>
    </row>
    <row r="12" spans="1:3" x14ac:dyDescent="0.25">
      <c r="A12" s="3" t="s">
        <v>3</v>
      </c>
      <c r="B12" s="26"/>
      <c r="C12" s="26"/>
    </row>
    <row r="13" spans="1:3" x14ac:dyDescent="0.25">
      <c r="A13" s="4" t="s">
        <v>206</v>
      </c>
      <c r="B13" s="67">
        <f>SUM(B11*25%)</f>
        <v>7240.3795516250011</v>
      </c>
      <c r="C13" s="67">
        <f>SUM(C11*25%)</f>
        <v>9525.2691497500055</v>
      </c>
    </row>
    <row r="14" spans="1:3" ht="15.75" thickBot="1" x14ac:dyDescent="0.3">
      <c r="A14" s="4" t="s">
        <v>207</v>
      </c>
      <c r="B14" s="71">
        <f>SUM(B11*25%)</f>
        <v>7240.3795516250011</v>
      </c>
      <c r="C14" s="71">
        <f>C13</f>
        <v>9525.2691497500055</v>
      </c>
    </row>
    <row r="15" spans="1:3" ht="15.75" thickBot="1" x14ac:dyDescent="0.3">
      <c r="A15" s="4" t="s">
        <v>208</v>
      </c>
      <c r="B15" s="69">
        <f>SUM(B13:B14)-1</f>
        <v>14479.759103250002</v>
      </c>
      <c r="C15" s="69">
        <f>SUM(C11-C13-C14)-1</f>
        <v>19049.538299500011</v>
      </c>
    </row>
    <row r="16" spans="1:3" ht="15.75" thickTop="1" x14ac:dyDescent="0.25"/>
  </sheetData>
  <pageMargins left="0.511811024" right="0.511811024" top="0.78740157499999996" bottom="0.78740157499999996" header="0.31496062000000002" footer="0.31496062000000002"/>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G28"/>
  <sheetViews>
    <sheetView zoomScaleNormal="100" workbookViewId="0">
      <selection activeCell="F18" sqref="F18"/>
    </sheetView>
  </sheetViews>
  <sheetFormatPr defaultRowHeight="15" x14ac:dyDescent="0.25"/>
  <cols>
    <col min="1" max="1" width="45.5703125" customWidth="1"/>
    <col min="2" max="2" width="12.28515625" customWidth="1"/>
    <col min="3" max="3" width="13" customWidth="1"/>
    <col min="4" max="4" width="12.5703125" customWidth="1"/>
    <col min="5" max="5" width="13.5703125" customWidth="1"/>
    <col min="6" max="6" width="11.42578125" customWidth="1"/>
  </cols>
  <sheetData>
    <row r="1" spans="1:7" x14ac:dyDescent="0.25">
      <c r="A1" s="1" t="s">
        <v>105</v>
      </c>
    </row>
    <row r="2" spans="1:7" x14ac:dyDescent="0.25">
      <c r="A2" s="1" t="s">
        <v>2749</v>
      </c>
    </row>
    <row r="3" spans="1:7" x14ac:dyDescent="0.25">
      <c r="A3" s="1" t="s">
        <v>0</v>
      </c>
    </row>
    <row r="4" spans="1:7" x14ac:dyDescent="0.25">
      <c r="A4" s="2"/>
    </row>
    <row r="5" spans="1:7" x14ac:dyDescent="0.25">
      <c r="A5" s="27" t="s">
        <v>209</v>
      </c>
    </row>
    <row r="7" spans="1:7" ht="15.75" thickBot="1" x14ac:dyDescent="0.3">
      <c r="A7" s="3" t="s">
        <v>3</v>
      </c>
      <c r="B7" s="65">
        <v>2020</v>
      </c>
      <c r="C7" s="65">
        <v>2019</v>
      </c>
    </row>
    <row r="8" spans="1:7" x14ac:dyDescent="0.25">
      <c r="A8" s="4" t="s">
        <v>3</v>
      </c>
      <c r="B8" s="32"/>
      <c r="C8" s="54"/>
    </row>
    <row r="9" spans="1:7" x14ac:dyDescent="0.25">
      <c r="A9" s="4" t="s">
        <v>210</v>
      </c>
      <c r="B9" s="111">
        <f>-SUM('BALANCETE 12-2020'!G1026+'BALANCETE 12-2020'!G1028)/1000</f>
        <v>57742.422239999993</v>
      </c>
      <c r="C9" s="67">
        <v>56779.860409999994</v>
      </c>
    </row>
    <row r="10" spans="1:7" x14ac:dyDescent="0.25">
      <c r="A10" s="4" t="s">
        <v>211</v>
      </c>
      <c r="B10" s="67">
        <f>-SUM('BALANCETE 12-2020'!G1066+'BALANCETE 12-2020'!G1073)/1000+1</f>
        <v>56494.418250000002</v>
      </c>
      <c r="C10" s="67">
        <v>52490.095510000006</v>
      </c>
    </row>
    <row r="11" spans="1:7" x14ac:dyDescent="0.25">
      <c r="A11" s="4" t="s">
        <v>212</v>
      </c>
      <c r="B11" s="67">
        <f>-SUM('BALANCETE 12-2020'!G1068)/1000</f>
        <v>13039.360470000001</v>
      </c>
      <c r="C11" s="67">
        <v>15258.06727</v>
      </c>
    </row>
    <row r="12" spans="1:7" x14ac:dyDescent="0.25">
      <c r="A12" s="4" t="s">
        <v>213</v>
      </c>
      <c r="B12" s="162">
        <f>-SUM('BALANCETE 12-2020'!G1024)/1000</f>
        <v>5615.0404800000006</v>
      </c>
      <c r="C12" s="169">
        <v>5272.9125199999999</v>
      </c>
    </row>
    <row r="13" spans="1:7" ht="15.75" thickBot="1" x14ac:dyDescent="0.3">
      <c r="A13" s="4" t="s">
        <v>3</v>
      </c>
      <c r="B13" s="331">
        <f>SUM(B9:B12)-1</f>
        <v>132890.24144000001</v>
      </c>
      <c r="C13" s="331">
        <v>129800.93571000001</v>
      </c>
      <c r="F13" s="67"/>
      <c r="G13" s="67"/>
    </row>
    <row r="14" spans="1:7" ht="15.75" thickTop="1" x14ac:dyDescent="0.25">
      <c r="A14" s="4" t="s">
        <v>3</v>
      </c>
      <c r="B14" s="26"/>
      <c r="C14" s="26"/>
    </row>
    <row r="15" spans="1:7" x14ac:dyDescent="0.25">
      <c r="A15" s="31" t="s">
        <v>214</v>
      </c>
      <c r="B15" s="26"/>
      <c r="C15" s="26"/>
    </row>
    <row r="16" spans="1:7" x14ac:dyDescent="0.25">
      <c r="A16" s="4" t="s">
        <v>215</v>
      </c>
      <c r="B16" s="153">
        <f>-SUM('BALANCETE 12-2020'!G1030+'BALANCETE 12-2020'!G1075)/1000</f>
        <v>-2040.07015</v>
      </c>
      <c r="C16" s="153">
        <v>-1985.7913100000001</v>
      </c>
    </row>
    <row r="17" spans="1:3" x14ac:dyDescent="0.25">
      <c r="A17" s="4" t="s">
        <v>216</v>
      </c>
      <c r="B17" s="153">
        <f>-SUM('BALANCETE 12-2020'!G1037+'BALANCETE 12-2020'!G1080)/1000</f>
        <v>-9397.4769800000013</v>
      </c>
      <c r="C17" s="153">
        <v>-9146.640809999999</v>
      </c>
    </row>
    <row r="18" spans="1:3" x14ac:dyDescent="0.25">
      <c r="A18" s="4" t="s">
        <v>217</v>
      </c>
      <c r="B18" s="153">
        <f>-SUM('BALANCETE 12-2020'!G1047)/1000</f>
        <v>-473.72007000000002</v>
      </c>
      <c r="C18" s="153">
        <v>-452.10240999999996</v>
      </c>
    </row>
    <row r="19" spans="1:3" x14ac:dyDescent="0.25">
      <c r="A19" s="4" t="s">
        <v>218</v>
      </c>
      <c r="B19" s="153">
        <f>-SUM('BALANCETE 12-2020'!G1052)/1000</f>
        <v>-160.41603000000001</v>
      </c>
      <c r="C19" s="153">
        <v>-159.94195999999999</v>
      </c>
    </row>
    <row r="20" spans="1:3" x14ac:dyDescent="0.25">
      <c r="A20" s="4" t="s">
        <v>219</v>
      </c>
      <c r="B20" s="153">
        <f>-SUM('BALANCETE 12-2020'!G1044+'BALANCETE 12-2020'!G1085)/1000</f>
        <v>-1437.59836</v>
      </c>
      <c r="C20" s="153">
        <v>-967.33785</v>
      </c>
    </row>
    <row r="21" spans="1:3" ht="15.75" thickBot="1" x14ac:dyDescent="0.3">
      <c r="A21" s="4" t="s">
        <v>220</v>
      </c>
      <c r="B21" s="154">
        <f>-SUM('BALANCETE 12-2020'!G1059)/1000</f>
        <v>-362.19792999999999</v>
      </c>
      <c r="C21" s="154">
        <v>-922.59388999999999</v>
      </c>
    </row>
    <row r="22" spans="1:3" ht="15.75" thickBot="1" x14ac:dyDescent="0.3">
      <c r="A22" s="4" t="s">
        <v>3</v>
      </c>
      <c r="B22" s="154">
        <f>SUM(B16:B21)</f>
        <v>-13871.479520000001</v>
      </c>
      <c r="C22" s="154">
        <v>-13635.408229999999</v>
      </c>
    </row>
    <row r="23" spans="1:3" ht="15.75" thickBot="1" x14ac:dyDescent="0.3">
      <c r="A23" s="4" t="s">
        <v>3</v>
      </c>
      <c r="B23" s="69">
        <f>SUM(B13+B22)</f>
        <v>119018.76192000002</v>
      </c>
      <c r="C23" s="69">
        <v>116165.52748</v>
      </c>
    </row>
    <row r="24" spans="1:3" ht="15.75" thickTop="1" x14ac:dyDescent="0.25">
      <c r="B24" s="101"/>
    </row>
    <row r="25" spans="1:3" x14ac:dyDescent="0.25">
      <c r="B25" s="101"/>
    </row>
    <row r="26" spans="1:3" x14ac:dyDescent="0.25">
      <c r="A26" s="4" t="s">
        <v>2185</v>
      </c>
      <c r="B26" s="101">
        <f>DRE!C9</f>
        <v>119018.76192</v>
      </c>
      <c r="C26" s="5">
        <f>DRE!D9</f>
        <v>116165.52748</v>
      </c>
    </row>
    <row r="28" spans="1:3" x14ac:dyDescent="0.25">
      <c r="B28" s="5"/>
    </row>
  </sheetData>
  <pageMargins left="0.511811024" right="0.511811024" top="0.78740157499999996" bottom="0.78740157499999996" header="0.31496062000000002" footer="0.3149606200000000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D23"/>
  <sheetViews>
    <sheetView zoomScaleNormal="100" workbookViewId="0">
      <selection sqref="A1:XFD1048576"/>
    </sheetView>
  </sheetViews>
  <sheetFormatPr defaultRowHeight="15" x14ac:dyDescent="0.25"/>
  <cols>
    <col min="1" max="1" width="45.5703125" customWidth="1"/>
    <col min="2" max="2" width="12.42578125" customWidth="1"/>
    <col min="3" max="3" width="14" customWidth="1"/>
    <col min="4" max="4" width="16.140625" customWidth="1"/>
    <col min="5" max="5" width="13.5703125" customWidth="1"/>
    <col min="6" max="6" width="11.42578125" customWidth="1"/>
  </cols>
  <sheetData>
    <row r="1" spans="1:4" x14ac:dyDescent="0.25">
      <c r="A1" s="1" t="s">
        <v>105</v>
      </c>
    </row>
    <row r="2" spans="1:4" x14ac:dyDescent="0.25">
      <c r="A2" s="1" t="s">
        <v>2749</v>
      </c>
    </row>
    <row r="3" spans="1:4" x14ac:dyDescent="0.25">
      <c r="A3" s="1" t="s">
        <v>0</v>
      </c>
    </row>
    <row r="4" spans="1:4" x14ac:dyDescent="0.25">
      <c r="A4" s="2"/>
    </row>
    <row r="5" spans="1:4" x14ac:dyDescent="0.25">
      <c r="A5" s="27" t="s">
        <v>3097</v>
      </c>
    </row>
    <row r="6" spans="1:4" ht="15.75" thickBot="1" x14ac:dyDescent="0.3">
      <c r="B6" s="65">
        <v>2020</v>
      </c>
      <c r="C6" s="65">
        <v>2019</v>
      </c>
    </row>
    <row r="7" spans="1:4" ht="24" customHeight="1" x14ac:dyDescent="0.25">
      <c r="A7" s="29"/>
      <c r="B7" s="32"/>
      <c r="C7" s="66"/>
      <c r="D7" s="332"/>
    </row>
    <row r="8" spans="1:4" x14ac:dyDescent="0.25">
      <c r="A8" s="4" t="s">
        <v>75</v>
      </c>
      <c r="B8" s="67">
        <f>SUM('BALANCETE 12-2020'!G1105)/1000</f>
        <v>3121.6511800000003</v>
      </c>
      <c r="C8" s="67" t="e">
        <f>SUM(#REF!)/1000</f>
        <v>#REF!</v>
      </c>
    </row>
    <row r="9" spans="1:4" x14ac:dyDescent="0.25">
      <c r="A9" s="4" t="s">
        <v>221</v>
      </c>
      <c r="B9" s="67">
        <f>SUM('BALANCETE 12-2020'!G1171)/1000</f>
        <v>141.07693</v>
      </c>
      <c r="C9" s="67" t="e">
        <f>SUM(#REF!)/1000</f>
        <v>#REF!</v>
      </c>
    </row>
    <row r="10" spans="1:4" x14ac:dyDescent="0.25">
      <c r="A10" s="4" t="s">
        <v>2581</v>
      </c>
      <c r="B10" s="111">
        <f>SUM('BALANCETE 12-2020'!G1193)/1000</f>
        <v>1587.19983</v>
      </c>
      <c r="C10" s="67" t="e">
        <f>SUM(#REF!)/1000</f>
        <v>#REF!</v>
      </c>
    </row>
    <row r="11" spans="1:4" x14ac:dyDescent="0.25">
      <c r="A11" s="4" t="s">
        <v>3094</v>
      </c>
      <c r="B11" s="67">
        <f>SUM('BALANCETE 12-2020'!G1214)/1000</f>
        <v>10.96203</v>
      </c>
      <c r="C11" s="67" t="e">
        <f>SUM(#REF!)/1000</f>
        <v>#REF!</v>
      </c>
    </row>
    <row r="12" spans="1:4" x14ac:dyDescent="0.25">
      <c r="A12" s="4" t="s">
        <v>3095</v>
      </c>
      <c r="B12" s="67">
        <f>SUM('BALANCETE 12-2020'!G1218)/1000</f>
        <v>61.915330000000004</v>
      </c>
      <c r="C12" s="67" t="e">
        <f>SUM(#REF!)/1000</f>
        <v>#REF!</v>
      </c>
    </row>
    <row r="13" spans="1:4" x14ac:dyDescent="0.25">
      <c r="A13" s="4" t="s">
        <v>3099</v>
      </c>
      <c r="B13" s="153">
        <f>SUM('BALANCETE 12-2020'!G1226)/1000</f>
        <v>25.36</v>
      </c>
      <c r="C13" s="153" t="e">
        <f>SUM(#REF!)/1000+1</f>
        <v>#REF!</v>
      </c>
    </row>
    <row r="14" spans="1:4" x14ac:dyDescent="0.25">
      <c r="A14" s="4" t="s">
        <v>3100</v>
      </c>
      <c r="B14" s="153">
        <f>SUM('BALANCETE 12-2020'!G1230)/1000</f>
        <v>43.762790000000003</v>
      </c>
      <c r="C14" s="153" t="s">
        <v>4</v>
      </c>
    </row>
    <row r="15" spans="1:4" x14ac:dyDescent="0.25">
      <c r="A15" s="4" t="s">
        <v>3096</v>
      </c>
      <c r="B15" s="153">
        <f>SUM('BALANCETE 12-2020'!G1234)</f>
        <v>0</v>
      </c>
      <c r="C15" s="153" t="e">
        <f>SUM(#REF!)/1000</f>
        <v>#REF!</v>
      </c>
    </row>
    <row r="16" spans="1:4" x14ac:dyDescent="0.25">
      <c r="A16" s="4" t="s">
        <v>3098</v>
      </c>
      <c r="B16" s="153">
        <f>SUM('BALANCETE 12-2020'!G1238)/1000</f>
        <v>27.585249999999998</v>
      </c>
      <c r="C16" s="153" t="e">
        <f>SUM(#REF!)/1000</f>
        <v>#REF!</v>
      </c>
    </row>
    <row r="17" spans="1:3" x14ac:dyDescent="0.25">
      <c r="A17" s="4" t="s">
        <v>2582</v>
      </c>
      <c r="B17" s="67">
        <f>SUM('BALANCETE 12-2020'!G1246)/1000</f>
        <v>3569.0446699999998</v>
      </c>
      <c r="C17" s="67" t="e">
        <f>SUM(#REF!)/1000</f>
        <v>#REF!</v>
      </c>
    </row>
    <row r="18" spans="1:3" ht="15.75" thickBot="1" x14ac:dyDescent="0.3">
      <c r="A18" s="4" t="s">
        <v>3101</v>
      </c>
      <c r="B18" s="69">
        <f>SUM('BALANCETE 12-2020V2'!AF1268:AL1268)/1000-1</f>
        <v>1219.6043200000001</v>
      </c>
      <c r="C18" s="69" t="e">
        <f>SUM(#REF!)/1000</f>
        <v>#REF!</v>
      </c>
    </row>
    <row r="19" spans="1:3" ht="15.75" thickTop="1" x14ac:dyDescent="0.25">
      <c r="A19" s="4"/>
      <c r="B19" s="160">
        <f>SUM(B8:B18)+1</f>
        <v>9809.1623299999992</v>
      </c>
      <c r="C19" s="160" t="e">
        <f>SUM(C8:C18)-1</f>
        <v>#REF!</v>
      </c>
    </row>
    <row r="20" spans="1:3" x14ac:dyDescent="0.25">
      <c r="A20" s="4" t="s">
        <v>3</v>
      </c>
    </row>
    <row r="22" spans="1:3" ht="15.75" thickBot="1" x14ac:dyDescent="0.3">
      <c r="B22" s="155">
        <f>SUM(DRE!C11)</f>
        <v>-9809.1623300000028</v>
      </c>
      <c r="C22" s="155">
        <f>SUM(DRE!D11)</f>
        <v>-12550.718999999999</v>
      </c>
    </row>
    <row r="23" spans="1:3" ht="15.75" thickTop="1" x14ac:dyDescent="0.25">
      <c r="A23" s="4" t="s">
        <v>2185</v>
      </c>
    </row>
  </sheetData>
  <pageMargins left="0.511811024" right="0.511811024" top="0.78740157499999996" bottom="0.78740157499999996" header="0.31496062000000002" footer="0.31496062000000002"/>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P38"/>
  <sheetViews>
    <sheetView workbookViewId="0">
      <selection sqref="A1:XFD1048576"/>
    </sheetView>
  </sheetViews>
  <sheetFormatPr defaultRowHeight="15" x14ac:dyDescent="0.25"/>
  <cols>
    <col min="1" max="1" width="45.5703125" customWidth="1"/>
    <col min="2" max="2" width="12.28515625" customWidth="1"/>
    <col min="3" max="3" width="13" customWidth="1"/>
    <col min="4" max="11" width="12.5703125" customWidth="1"/>
    <col min="12" max="12" width="13.5703125" customWidth="1"/>
    <col min="13" max="13" width="11.42578125" customWidth="1"/>
  </cols>
  <sheetData>
    <row r="1" spans="1:12" x14ac:dyDescent="0.25">
      <c r="A1" s="1" t="s">
        <v>105</v>
      </c>
    </row>
    <row r="2" spans="1:12" x14ac:dyDescent="0.25">
      <c r="A2" s="1" t="s">
        <v>2749</v>
      </c>
    </row>
    <row r="3" spans="1:12" x14ac:dyDescent="0.25">
      <c r="A3" s="1" t="s">
        <v>0</v>
      </c>
    </row>
    <row r="4" spans="1:12" x14ac:dyDescent="0.25">
      <c r="A4" s="2"/>
    </row>
    <row r="5" spans="1:12" x14ac:dyDescent="0.25">
      <c r="A5" s="27" t="s">
        <v>3294</v>
      </c>
    </row>
    <row r="7" spans="1:12" ht="15.75" thickBot="1" x14ac:dyDescent="0.3">
      <c r="A7" s="146" t="s">
        <v>3</v>
      </c>
      <c r="B7" s="65">
        <v>2020</v>
      </c>
      <c r="C7" s="64">
        <v>2019</v>
      </c>
    </row>
    <row r="8" spans="1:12" x14ac:dyDescent="0.25">
      <c r="A8" s="31" t="s">
        <v>3103</v>
      </c>
      <c r="B8" s="32"/>
      <c r="C8" s="54"/>
    </row>
    <row r="9" spans="1:12" x14ac:dyDescent="0.25">
      <c r="A9" s="112" t="s">
        <v>222</v>
      </c>
      <c r="B9" s="111">
        <f>SUM('BALANCETE 12-2020'!G1545)/1000</f>
        <v>7068.4409299999998</v>
      </c>
      <c r="C9" s="111">
        <v>6637.8883599999999</v>
      </c>
      <c r="L9" s="5"/>
    </row>
    <row r="10" spans="1:12" x14ac:dyDescent="0.25">
      <c r="A10" s="112" t="s">
        <v>226</v>
      </c>
      <c r="B10" s="111">
        <f>SUM('BALANCETE 12-2020'!G1546+'BALANCETE 12-2020'!G1549+'BALANCETE 12-2020'!G1550+'BALANCETE 12-2020'!G1551)/1000</f>
        <v>6999.9192800000001</v>
      </c>
      <c r="C10" s="111">
        <v>13324.917280000001</v>
      </c>
    </row>
    <row r="11" spans="1:12" x14ac:dyDescent="0.25">
      <c r="A11" s="112" t="s">
        <v>225</v>
      </c>
      <c r="B11" s="111">
        <f>SUM('razão energia elétrica comprada'!N17,'razão energia elétrica comprada'!N39,'razão energia elétrica comprada'!N38,'razão energia elétrica comprada'!N51,'razão energia elétrica comprada'!N72,'razão energia elétrica comprada'!N93,'razão energia elétrica comprada'!N102,'razão energia elétrica comprada'!N129,'razão energia elétrica comprada'!N134,'razão energia elétrica comprada'!N159,'razão energia elétrica comprada'!N172,'razão energia elétrica comprada'!N185)/1000</f>
        <v>6064.8937699999997</v>
      </c>
      <c r="C11" s="111">
        <v>293.97427000000005</v>
      </c>
    </row>
    <row r="12" spans="1:12" x14ac:dyDescent="0.25">
      <c r="A12" s="112" t="s">
        <v>2574</v>
      </c>
      <c r="B12" s="111">
        <f>SUM('razão energia elétrica comprada'!N8,'razão energia elétrica comprada'!N21,'razão energia elétrica comprada'!N23,'razão energia elétrica comprada'!N40,'razão energia elétrica comprada'!N42,'razão energia elétrica comprada'!N59,'razão energia elétrica comprada'!N61,'razão energia elétrica comprada'!N63,'razão energia elétrica comprada'!N66,'razão energia elétrica comprada'!N68,'razão energia elétrica comprada'!N70,'razão energia elétrica comprada'!N85,'razão energia elétrica comprada'!N91,'razão energia elétrica comprada'!N95,'razão energia elétrica comprada'!N104,'razão energia elétrica comprada'!N106,'razão energia elétrica comprada'!N108,'razão energia elétrica comprada'!N121,'razão energia elétrica comprada'!N123,'razão energia elétrica comprada'!N125,'razão energia elétrica comprada'!N136,'razão energia elétrica comprada'!N138,'razão energia elétrica comprada'!N140,'razão energia elétrica comprada'!N153,'razão energia elétrica comprada'!N155,'razão energia elétrica comprada'!N157,'razão energia elétrica comprada'!N176,'razão energia elétrica comprada'!N178,'razão energia elétrica comprada'!N180,'razão energia elétrica comprada'!N189,'razão energia elétrica comprada'!N191,'razão energia elétrica comprada'!N193)/1000</f>
        <v>5182.0854800000016</v>
      </c>
      <c r="C12" s="111">
        <v>650.18470000000002</v>
      </c>
    </row>
    <row r="13" spans="1:12" x14ac:dyDescent="0.25">
      <c r="A13" s="112" t="s">
        <v>3298</v>
      </c>
      <c r="B13" s="111">
        <f>SUM('razão energia elétrica comprada'!N25,'razão energia elétrica comprada'!N34,'razão energia elétrica comprada'!N55,'razão energia elétrica comprada'!N74,'razão energia elétrica comprada'!N89,'razão energia elétrica comprada'!N100,'razão energia elétrica comprada'!N119,'razão energia elétrica comprada'!N142,'razão energia elétrica comprada'!N151,'razão energia elétrica comprada'!N168,'razão energia elétrica comprada'!N199)/1000</f>
        <v>4942.4255999999996</v>
      </c>
      <c r="C13" s="111" t="s">
        <v>4</v>
      </c>
    </row>
    <row r="14" spans="1:12" x14ac:dyDescent="0.25">
      <c r="A14" s="112" t="s">
        <v>3297</v>
      </c>
      <c r="B14" s="111">
        <f>SUM('razão energia elétrica comprada'!N19,'razão energia elétrica comprada'!N46,'razão energia elétrica comprada'!N49,'razão energia elétrica comprada'!N76,'razão energia elétrica comprada'!N97,'razão energia elétrica comprada'!N114,'razão energia elétrica comprada'!N131,'razão energia elétrica comprada'!N148,'razão energia elétrica comprada'!N161,'razão energia elétrica comprada'!N170,'razão energia elétrica comprada'!N187)/1000</f>
        <v>3016.7101500000003</v>
      </c>
      <c r="C14" s="111" t="s">
        <v>4</v>
      </c>
    </row>
    <row r="15" spans="1:12" x14ac:dyDescent="0.25">
      <c r="A15" s="112" t="s">
        <v>224</v>
      </c>
      <c r="B15" s="111">
        <f>SUM('BALANCETE 12-2020'!G1547)/1000</f>
        <v>1795.7438999999999</v>
      </c>
      <c r="C15" s="111">
        <v>1295.4499799999999</v>
      </c>
    </row>
    <row r="16" spans="1:12" x14ac:dyDescent="0.25">
      <c r="A16" s="112" t="s">
        <v>3300</v>
      </c>
      <c r="B16" s="333">
        <f>SUM('razão energia elétrica comprada'!N31)/1000</f>
        <v>887.44766000000004</v>
      </c>
      <c r="C16" s="333" t="s">
        <v>4</v>
      </c>
    </row>
    <row r="17" spans="1:16" x14ac:dyDescent="0.25">
      <c r="A17" s="112" t="s">
        <v>3074</v>
      </c>
      <c r="B17" s="111">
        <f>SUM('razão energia elétrica comprada'!N27,'razão energia elétrica comprada'!N36,'razão energia elétrica comprada'!N53,'razão energia elétrica comprada'!N78,'razão energia elétrica comprada'!N87,'razão energia elétrica comprada'!N112,'razão energia elétrica comprada'!N117,'razão energia elétrica comprada'!N146,'razão energia elétrica comprada'!N163,'razão energia elétrica comprada'!N174,'razão energia elétrica comprada'!N197)/1000</f>
        <v>801.72748999999999</v>
      </c>
      <c r="C17" s="111" t="s">
        <v>4</v>
      </c>
    </row>
    <row r="18" spans="1:16" x14ac:dyDescent="0.25">
      <c r="A18" s="112" t="s">
        <v>3299</v>
      </c>
      <c r="B18" s="111">
        <f>SUM('razão energia elétrica comprada'!N29,'razão energia elétrica comprada'!N44,'razão energia elétrica comprada'!N57,'razão energia elétrica comprada'!N80,'razão energia elétrica comprada'!N83,'razão energia elétrica comprada'!N110,'razão energia elétrica comprada'!N127,'razão energia elétrica comprada'!N144,'razão energia elétrica comprada'!N165,'razão energia elétrica comprada'!N182,'razão energia elétrica comprada'!N195)/1000</f>
        <v>760.58943999999997</v>
      </c>
      <c r="C18" s="111" t="s">
        <v>4</v>
      </c>
    </row>
    <row r="19" spans="1:16" x14ac:dyDescent="0.25">
      <c r="A19" s="112" t="s">
        <v>3076</v>
      </c>
      <c r="B19" s="111">
        <f>SUM('razão energia elétrica comprada'!N14)/1000</f>
        <v>663.35040000000004</v>
      </c>
      <c r="C19" s="111" t="s">
        <v>4</v>
      </c>
    </row>
    <row r="20" spans="1:16" x14ac:dyDescent="0.25">
      <c r="A20" s="112" t="s">
        <v>2573</v>
      </c>
      <c r="B20" s="111">
        <f>SUM('razão energia elétrica comprada'!N10)/1000</f>
        <v>330.2398</v>
      </c>
      <c r="C20" s="111" t="s">
        <v>4</v>
      </c>
    </row>
    <row r="21" spans="1:16" x14ac:dyDescent="0.25">
      <c r="A21" s="112" t="s">
        <v>2181</v>
      </c>
      <c r="B21" s="111">
        <f>SUM('razão energia elétrica comprada'!N12)/1000</f>
        <v>166.90498000000002</v>
      </c>
      <c r="C21" s="314">
        <v>2205.6359199999997</v>
      </c>
    </row>
    <row r="22" spans="1:16" x14ac:dyDescent="0.25">
      <c r="A22" s="112" t="s">
        <v>3301</v>
      </c>
      <c r="B22" s="111" t="s">
        <v>4</v>
      </c>
      <c r="C22" s="111">
        <v>5859</v>
      </c>
    </row>
    <row r="23" spans="1:16" x14ac:dyDescent="0.25">
      <c r="A23" s="112" t="s">
        <v>2572</v>
      </c>
      <c r="B23" s="111" t="s">
        <v>4</v>
      </c>
      <c r="C23" s="111">
        <v>2943</v>
      </c>
    </row>
    <row r="24" spans="1:16" x14ac:dyDescent="0.25">
      <c r="A24" s="112" t="s">
        <v>3302</v>
      </c>
      <c r="B24" s="111" t="s">
        <v>4</v>
      </c>
      <c r="C24" s="111">
        <v>2859</v>
      </c>
    </row>
    <row r="25" spans="1:16" x14ac:dyDescent="0.25">
      <c r="A25" s="112" t="s">
        <v>223</v>
      </c>
      <c r="B25" s="162" t="s">
        <v>4</v>
      </c>
      <c r="C25" s="162">
        <v>276.10732999999999</v>
      </c>
    </row>
    <row r="26" spans="1:16" x14ac:dyDescent="0.25">
      <c r="A26" s="4" t="s">
        <v>3</v>
      </c>
      <c r="B26" s="160">
        <f>SUM(B9:B25)</f>
        <v>38680.478880000002</v>
      </c>
      <c r="C26" s="160">
        <f>SUM(C9:C25)</f>
        <v>36345.15784</v>
      </c>
      <c r="L26" s="100" t="s">
        <v>2188</v>
      </c>
      <c r="M26" s="100"/>
      <c r="N26" s="100"/>
      <c r="O26" s="100"/>
      <c r="P26" s="100"/>
    </row>
    <row r="27" spans="1:16" x14ac:dyDescent="0.25">
      <c r="A27" s="31" t="s">
        <v>3296</v>
      </c>
      <c r="B27" s="160"/>
      <c r="C27" s="160"/>
      <c r="L27" s="100"/>
      <c r="M27" s="100"/>
      <c r="N27" s="100"/>
      <c r="O27" s="100"/>
      <c r="P27" s="100"/>
    </row>
    <row r="28" spans="1:16" x14ac:dyDescent="0.25">
      <c r="A28" s="112" t="s">
        <v>3102</v>
      </c>
      <c r="B28" s="67">
        <f>SUM('BALANCETE 12-2020'!G1093+'BALANCETE 12-2020'!G1095+'BALANCETE 12-2020'!G1097)/1000</f>
        <v>1966.9517700000001</v>
      </c>
      <c r="C28" s="67" t="e">
        <f>SUM(#REF!+#REF!+#REF!)/1000</f>
        <v>#REF!</v>
      </c>
      <c r="L28" s="334"/>
      <c r="M28" s="334"/>
      <c r="N28" s="334"/>
      <c r="O28" s="334"/>
      <c r="P28" s="334"/>
    </row>
    <row r="29" spans="1:16" x14ac:dyDescent="0.25">
      <c r="A29" s="112" t="s">
        <v>227</v>
      </c>
      <c r="B29" s="169">
        <f>SUM('BALANCETE 12-2020'!G1554)/1000</f>
        <v>1.98044</v>
      </c>
      <c r="C29" s="169">
        <v>6</v>
      </c>
      <c r="L29" s="334"/>
      <c r="M29" s="334"/>
      <c r="N29" s="334"/>
      <c r="O29" s="334"/>
      <c r="P29" s="334"/>
    </row>
    <row r="30" spans="1:16" x14ac:dyDescent="0.25">
      <c r="A30" s="4"/>
      <c r="B30" s="160">
        <f>SUM(B28:B29)</f>
        <v>1968.9322100000002</v>
      </c>
      <c r="C30" s="160" t="e">
        <f>SUM(C28:C29)</f>
        <v>#REF!</v>
      </c>
      <c r="L30" s="334"/>
      <c r="M30" s="334"/>
      <c r="N30" s="334"/>
      <c r="O30" s="334"/>
      <c r="P30" s="334"/>
    </row>
    <row r="31" spans="1:16" x14ac:dyDescent="0.25">
      <c r="A31" s="4"/>
      <c r="B31" s="160"/>
      <c r="C31" s="160"/>
      <c r="L31" s="334"/>
      <c r="M31" s="334"/>
      <c r="N31" s="334"/>
      <c r="O31" s="334"/>
      <c r="P31" s="334"/>
    </row>
    <row r="32" spans="1:16" ht="15.75" thickBot="1" x14ac:dyDescent="0.3">
      <c r="A32" s="4" t="s">
        <v>2571</v>
      </c>
      <c r="B32" s="155">
        <f>SUM('BALANCETE 12-2020'!G1098+'BALANCETE 12-2020'!G1552+'BALANCETE 12-2020'!G1557)/1000+1</f>
        <v>-3346.9821299999999</v>
      </c>
      <c r="C32" s="155" t="e">
        <f>SUM(#REF!+#REF!+#REF!+#REF!+#REF!+#REF!)/1000+1</f>
        <v>#REF!</v>
      </c>
      <c r="L32" s="160"/>
      <c r="M32" s="160"/>
      <c r="N32" s="334"/>
      <c r="O32" s="334"/>
      <c r="P32" s="334"/>
    </row>
    <row r="33" spans="1:16" ht="15.75" thickTop="1" x14ac:dyDescent="0.25">
      <c r="A33" s="4"/>
      <c r="B33" s="335">
        <f>SUM(B26+B30+B32)</f>
        <v>37302.428960000005</v>
      </c>
      <c r="C33" s="335" t="e">
        <f>SUM(C26+C30+C32)-1</f>
        <v>#REF!</v>
      </c>
      <c r="L33" s="334"/>
      <c r="M33" s="334"/>
      <c r="N33" s="334"/>
      <c r="O33" s="334"/>
      <c r="P33" s="334"/>
    </row>
    <row r="34" spans="1:16" x14ac:dyDescent="0.25">
      <c r="A34" s="4"/>
      <c r="B34" s="160"/>
      <c r="C34" s="160"/>
      <c r="L34" s="334"/>
      <c r="M34" s="334"/>
      <c r="N34" s="334"/>
      <c r="O34" s="334"/>
      <c r="P34" s="334"/>
    </row>
    <row r="35" spans="1:16" x14ac:dyDescent="0.25">
      <c r="A35" s="4"/>
      <c r="B35" s="160"/>
      <c r="C35" s="160"/>
      <c r="L35" s="334"/>
      <c r="M35" s="334"/>
      <c r="N35" s="334"/>
      <c r="O35" s="334"/>
      <c r="P35" s="334"/>
    </row>
    <row r="36" spans="1:16" x14ac:dyDescent="0.25">
      <c r="A36" s="112"/>
      <c r="B36" s="333"/>
      <c r="C36" s="333"/>
    </row>
    <row r="37" spans="1:16" x14ac:dyDescent="0.25">
      <c r="A37" s="31" t="s">
        <v>2185</v>
      </c>
      <c r="B37" s="161">
        <f>SUM(DRE!C12)</f>
        <v>-37301.607919999995</v>
      </c>
      <c r="C37" s="161">
        <f>DRE!D12</f>
        <v>-34549.605299999996</v>
      </c>
    </row>
    <row r="38" spans="1:16" x14ac:dyDescent="0.25">
      <c r="B38" s="5"/>
    </row>
  </sheetData>
  <pageMargins left="0.511811024" right="0.511811024" top="0.78740157499999996" bottom="0.78740157499999996" header="0.31496062000000002" footer="0.31496062000000002"/>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R202"/>
  <sheetViews>
    <sheetView topLeftCell="A175" zoomScale="115" zoomScaleNormal="115" workbookViewId="0">
      <selection activeCell="M200" sqref="M200"/>
    </sheetView>
  </sheetViews>
  <sheetFormatPr defaultRowHeight="15" x14ac:dyDescent="0.25"/>
  <cols>
    <col min="1" max="1" width="8.5703125" customWidth="1"/>
    <col min="2" max="2" width="1" customWidth="1"/>
    <col min="3" max="3" width="9.5703125" customWidth="1"/>
    <col min="4" max="4" width="2.28515625" customWidth="1"/>
    <col min="5" max="5" width="1.7109375" customWidth="1"/>
    <col min="6" max="6" width="1" customWidth="1"/>
    <col min="7" max="7" width="34.5703125" customWidth="1"/>
    <col min="8" max="8" width="1.85546875" customWidth="1"/>
    <col min="9" max="9" width="8.85546875" customWidth="1"/>
    <col min="10" max="10" width="21.42578125" customWidth="1"/>
    <col min="11" max="11" width="1" customWidth="1"/>
    <col min="12" max="12" width="6.42578125" customWidth="1"/>
    <col min="13" max="13" width="9.7109375" customWidth="1"/>
    <col min="14" max="14" width="17.5703125" customWidth="1"/>
    <col min="15" max="15" width="8.42578125" customWidth="1"/>
    <col min="16" max="16" width="10" customWidth="1"/>
    <col min="17" max="17" width="0.7109375" customWidth="1"/>
    <col min="18" max="18" width="17" customWidth="1"/>
  </cols>
  <sheetData>
    <row r="1" spans="1:18" ht="11.85" customHeight="1" x14ac:dyDescent="0.25">
      <c r="A1" s="717" t="s">
        <v>2189</v>
      </c>
      <c r="B1" s="717"/>
      <c r="C1" s="717"/>
      <c r="D1" s="717"/>
      <c r="E1" s="717"/>
      <c r="F1" s="717"/>
      <c r="G1" s="717"/>
      <c r="H1" s="717"/>
      <c r="I1" s="717"/>
      <c r="J1" s="717"/>
      <c r="K1" s="717"/>
      <c r="L1" s="717"/>
      <c r="M1" s="717"/>
      <c r="N1" s="717"/>
      <c r="O1" s="717"/>
      <c r="P1" s="717"/>
      <c r="Q1" s="717"/>
      <c r="R1" s="717"/>
    </row>
    <row r="2" spans="1:18" ht="11.85" customHeight="1" x14ac:dyDescent="0.25">
      <c r="A2" s="717" t="s">
        <v>2190</v>
      </c>
      <c r="B2" s="717"/>
      <c r="C2" s="717"/>
      <c r="D2" s="717"/>
      <c r="E2" s="717"/>
      <c r="G2" s="718" t="s">
        <v>2191</v>
      </c>
      <c r="H2" s="718"/>
      <c r="I2" s="718"/>
      <c r="J2" s="718"/>
      <c r="K2" s="718"/>
      <c r="L2" s="718"/>
      <c r="M2" s="718"/>
      <c r="N2" s="718"/>
      <c r="O2" s="680" t="s">
        <v>2192</v>
      </c>
      <c r="P2" s="680"/>
      <c r="R2" s="102">
        <v>1</v>
      </c>
    </row>
    <row r="3" spans="1:18" ht="11.1" customHeight="1" x14ac:dyDescent="0.25">
      <c r="G3" s="682" t="s">
        <v>3104</v>
      </c>
      <c r="H3" s="682"/>
      <c r="I3" s="682"/>
      <c r="J3" s="682"/>
      <c r="K3" s="682"/>
      <c r="L3" s="682"/>
      <c r="M3" s="682"/>
      <c r="N3" s="682"/>
      <c r="O3" s="682"/>
    </row>
    <row r="4" spans="1:18" ht="13.5" customHeight="1" x14ac:dyDescent="0.25"/>
    <row r="5" spans="1:18" ht="11.1" customHeight="1" x14ac:dyDescent="0.25">
      <c r="A5" s="303" t="s">
        <v>2193</v>
      </c>
      <c r="C5" s="302" t="s">
        <v>2194</v>
      </c>
      <c r="D5" s="666" t="s">
        <v>2195</v>
      </c>
      <c r="E5" s="666"/>
      <c r="F5" s="666"/>
      <c r="G5" s="666"/>
      <c r="J5" s="302" t="s">
        <v>2196</v>
      </c>
      <c r="L5" s="666" t="s">
        <v>2197</v>
      </c>
      <c r="M5" s="666"/>
      <c r="N5" s="303" t="s">
        <v>2198</v>
      </c>
      <c r="O5" s="680" t="s">
        <v>2199</v>
      </c>
      <c r="P5" s="680"/>
      <c r="R5" s="303" t="s">
        <v>2200</v>
      </c>
    </row>
    <row r="6" spans="1:18" ht="11.1" customHeight="1" x14ac:dyDescent="0.25">
      <c r="A6" s="715" t="s">
        <v>2201</v>
      </c>
      <c r="B6" s="715"/>
      <c r="C6" s="715"/>
      <c r="D6" s="715"/>
      <c r="E6" s="715"/>
      <c r="F6" s="715"/>
      <c r="G6" s="715"/>
      <c r="H6" s="715"/>
      <c r="I6" s="715"/>
      <c r="J6" s="715"/>
      <c r="K6" s="715"/>
      <c r="L6" s="715"/>
      <c r="M6" s="715"/>
      <c r="N6" s="715"/>
    </row>
    <row r="7" spans="1:18" ht="11.1" customHeight="1" x14ac:dyDescent="0.25">
      <c r="A7" s="103">
        <v>43831</v>
      </c>
      <c r="C7" s="309" t="s">
        <v>2202</v>
      </c>
      <c r="E7" s="666" t="s">
        <v>2203</v>
      </c>
      <c r="F7" s="666"/>
      <c r="G7" s="666"/>
      <c r="H7" s="666"/>
      <c r="J7" s="309"/>
      <c r="R7" s="104">
        <v>0</v>
      </c>
    </row>
    <row r="8" spans="1:18" s="94" customFormat="1" ht="11.1" customHeight="1" x14ac:dyDescent="0.25">
      <c r="A8" s="336">
        <v>43836</v>
      </c>
      <c r="C8" s="337" t="s">
        <v>3105</v>
      </c>
      <c r="E8" s="708" t="s">
        <v>3106</v>
      </c>
      <c r="F8" s="708"/>
      <c r="G8" s="708"/>
      <c r="H8" s="708"/>
      <c r="J8" s="337" t="s">
        <v>2464</v>
      </c>
      <c r="L8" s="703" t="s">
        <v>2204</v>
      </c>
      <c r="M8" s="703"/>
      <c r="N8" s="338">
        <v>109755.39</v>
      </c>
      <c r="R8" s="339">
        <v>109755.39</v>
      </c>
    </row>
    <row r="9" spans="1:18" s="94" customFormat="1" ht="11.1" customHeight="1" x14ac:dyDescent="0.25">
      <c r="E9" s="708"/>
      <c r="F9" s="708"/>
      <c r="G9" s="708"/>
      <c r="H9" s="708"/>
    </row>
    <row r="10" spans="1:18" s="157" customFormat="1" ht="11.1" customHeight="1" x14ac:dyDescent="0.25">
      <c r="A10" s="156">
        <v>43836</v>
      </c>
      <c r="C10" s="311" t="s">
        <v>3107</v>
      </c>
      <c r="E10" s="657" t="s">
        <v>3108</v>
      </c>
      <c r="F10" s="657"/>
      <c r="G10" s="657"/>
      <c r="H10" s="657"/>
      <c r="J10" s="311" t="s">
        <v>2278</v>
      </c>
      <c r="L10" s="716" t="s">
        <v>2204</v>
      </c>
      <c r="M10" s="716"/>
      <c r="N10" s="306">
        <v>330239.8</v>
      </c>
      <c r="R10" s="158">
        <v>439995.19</v>
      </c>
    </row>
    <row r="11" spans="1:18" s="157" customFormat="1" ht="21.95" customHeight="1" x14ac:dyDescent="0.25">
      <c r="E11" s="657"/>
      <c r="F11" s="657"/>
      <c r="G11" s="657"/>
      <c r="H11" s="657"/>
    </row>
    <row r="12" spans="1:18" s="341" customFormat="1" ht="11.1" customHeight="1" x14ac:dyDescent="0.25">
      <c r="A12" s="340">
        <v>43836</v>
      </c>
      <c r="C12" s="342" t="s">
        <v>3109</v>
      </c>
      <c r="E12" s="719" t="s">
        <v>3110</v>
      </c>
      <c r="F12" s="719"/>
      <c r="G12" s="719"/>
      <c r="H12" s="719"/>
      <c r="J12" s="342" t="s">
        <v>2232</v>
      </c>
      <c r="L12" s="720" t="s">
        <v>2204</v>
      </c>
      <c r="M12" s="720"/>
      <c r="N12" s="343">
        <v>166904.98000000001</v>
      </c>
      <c r="R12" s="344">
        <v>606900.17000000004</v>
      </c>
    </row>
    <row r="13" spans="1:18" s="341" customFormat="1" ht="11.1" customHeight="1" x14ac:dyDescent="0.25">
      <c r="E13" s="719"/>
      <c r="F13" s="719"/>
      <c r="G13" s="719"/>
      <c r="H13" s="719"/>
    </row>
    <row r="14" spans="1:18" s="159" customFormat="1" ht="11.1" customHeight="1" x14ac:dyDescent="0.25">
      <c r="A14" s="345">
        <v>43837</v>
      </c>
      <c r="C14" s="346" t="s">
        <v>3111</v>
      </c>
      <c r="E14" s="721" t="s">
        <v>3112</v>
      </c>
      <c r="F14" s="721"/>
      <c r="G14" s="721"/>
      <c r="H14" s="721"/>
      <c r="J14" s="346" t="s">
        <v>3113</v>
      </c>
      <c r="L14" s="722" t="s">
        <v>2204</v>
      </c>
      <c r="M14" s="722"/>
      <c r="N14" s="307">
        <v>663350.4</v>
      </c>
      <c r="R14" s="347">
        <v>1270250.57</v>
      </c>
    </row>
    <row r="15" spans="1:18" s="159" customFormat="1" ht="11.1" customHeight="1" x14ac:dyDescent="0.25">
      <c r="E15" s="721"/>
      <c r="F15" s="721"/>
      <c r="G15" s="721"/>
      <c r="H15" s="721"/>
    </row>
    <row r="16" spans="1:18" ht="13.35" customHeight="1" x14ac:dyDescent="0.25">
      <c r="M16" s="303" t="s">
        <v>2205</v>
      </c>
      <c r="N16" s="310">
        <v>1270250.57</v>
      </c>
      <c r="O16" s="706">
        <v>0</v>
      </c>
      <c r="P16" s="706"/>
    </row>
    <row r="17" spans="1:18" s="108" customFormat="1" ht="11.1" customHeight="1" x14ac:dyDescent="0.25">
      <c r="A17" s="107">
        <v>43864</v>
      </c>
      <c r="C17" s="313" t="s">
        <v>3114</v>
      </c>
      <c r="E17" s="669" t="s">
        <v>3115</v>
      </c>
      <c r="F17" s="669"/>
      <c r="G17" s="669"/>
      <c r="H17" s="669"/>
      <c r="J17" s="313" t="s">
        <v>953</v>
      </c>
      <c r="L17" s="707" t="s">
        <v>2204</v>
      </c>
      <c r="M17" s="707"/>
      <c r="N17" s="304">
        <v>635231.12</v>
      </c>
      <c r="R17" s="109">
        <v>1905481.69</v>
      </c>
    </row>
    <row r="18" spans="1:18" s="108" customFormat="1" ht="11.1" customHeight="1" x14ac:dyDescent="0.25">
      <c r="E18" s="669"/>
      <c r="F18" s="669"/>
      <c r="G18" s="669"/>
      <c r="H18" s="669"/>
    </row>
    <row r="19" spans="1:18" s="348" customFormat="1" ht="11.1" customHeight="1" x14ac:dyDescent="0.25">
      <c r="A19" s="349">
        <v>43864</v>
      </c>
      <c r="C19" s="350" t="s">
        <v>3116</v>
      </c>
      <c r="E19" s="704" t="s">
        <v>3117</v>
      </c>
      <c r="F19" s="704"/>
      <c r="G19" s="704"/>
      <c r="H19" s="704"/>
      <c r="J19" s="350" t="s">
        <v>3118</v>
      </c>
      <c r="L19" s="705" t="s">
        <v>2204</v>
      </c>
      <c r="M19" s="705"/>
      <c r="N19" s="351">
        <v>315967.28999999998</v>
      </c>
      <c r="R19" s="352">
        <v>2221448.98</v>
      </c>
    </row>
    <row r="20" spans="1:18" s="348" customFormat="1" ht="11.1" customHeight="1" x14ac:dyDescent="0.25">
      <c r="E20" s="704"/>
      <c r="F20" s="704"/>
      <c r="G20" s="704"/>
      <c r="H20" s="704"/>
    </row>
    <row r="21" spans="1:18" s="94" customFormat="1" ht="11.1" customHeight="1" x14ac:dyDescent="0.25">
      <c r="A21" s="336">
        <v>43865</v>
      </c>
      <c r="C21" s="337" t="s">
        <v>3119</v>
      </c>
      <c r="E21" s="708" t="s">
        <v>3120</v>
      </c>
      <c r="F21" s="708"/>
      <c r="G21" s="708"/>
      <c r="H21" s="708"/>
      <c r="J21" s="337" t="s">
        <v>2464</v>
      </c>
      <c r="L21" s="703" t="s">
        <v>2204</v>
      </c>
      <c r="M21" s="703"/>
      <c r="N21" s="338">
        <v>128826.18</v>
      </c>
      <c r="R21" s="339">
        <v>2350275.16</v>
      </c>
    </row>
    <row r="22" spans="1:18" s="94" customFormat="1" ht="11.1" customHeight="1" x14ac:dyDescent="0.25">
      <c r="E22" s="708"/>
      <c r="F22" s="708"/>
      <c r="G22" s="708"/>
      <c r="H22" s="708"/>
    </row>
    <row r="23" spans="1:18" s="94" customFormat="1" ht="11.1" customHeight="1" x14ac:dyDescent="0.25">
      <c r="A23" s="336">
        <v>43865</v>
      </c>
      <c r="C23" s="337" t="s">
        <v>3121</v>
      </c>
      <c r="E23" s="708" t="s">
        <v>3122</v>
      </c>
      <c r="F23" s="708"/>
      <c r="G23" s="708"/>
      <c r="H23" s="708"/>
      <c r="J23" s="337" t="s">
        <v>2464</v>
      </c>
      <c r="L23" s="703" t="s">
        <v>2204</v>
      </c>
      <c r="M23" s="703"/>
      <c r="N23" s="338">
        <v>158726.89000000001</v>
      </c>
      <c r="R23" s="339">
        <v>2509002.0499999998</v>
      </c>
    </row>
    <row r="24" spans="1:18" s="94" customFormat="1" ht="11.1" customHeight="1" x14ac:dyDescent="0.25">
      <c r="E24" s="708"/>
      <c r="F24" s="708"/>
      <c r="G24" s="708"/>
      <c r="H24" s="708"/>
    </row>
    <row r="25" spans="1:18" s="354" customFormat="1" ht="11.1" customHeight="1" x14ac:dyDescent="0.25">
      <c r="A25" s="353">
        <v>43865</v>
      </c>
      <c r="C25" s="355" t="s">
        <v>3123</v>
      </c>
      <c r="E25" s="712" t="s">
        <v>3124</v>
      </c>
      <c r="F25" s="712"/>
      <c r="G25" s="712"/>
      <c r="H25" s="712"/>
      <c r="J25" s="355" t="s">
        <v>3125</v>
      </c>
      <c r="L25" s="713" t="s">
        <v>2204</v>
      </c>
      <c r="M25" s="713"/>
      <c r="N25" s="356">
        <v>439927.2</v>
      </c>
      <c r="R25" s="357">
        <v>2948929.25</v>
      </c>
    </row>
    <row r="26" spans="1:18" s="354" customFormat="1" ht="11.1" customHeight="1" x14ac:dyDescent="0.25">
      <c r="E26" s="712"/>
      <c r="F26" s="712"/>
      <c r="G26" s="712"/>
      <c r="H26" s="712"/>
    </row>
    <row r="27" spans="1:18" s="360" customFormat="1" ht="11.1" customHeight="1" x14ac:dyDescent="0.25">
      <c r="A27" s="359">
        <v>43866</v>
      </c>
      <c r="C27" s="361" t="s">
        <v>3126</v>
      </c>
      <c r="E27" s="709" t="s">
        <v>3127</v>
      </c>
      <c r="F27" s="709"/>
      <c r="G27" s="709"/>
      <c r="H27" s="709"/>
      <c r="J27" s="361" t="s">
        <v>3128</v>
      </c>
      <c r="L27" s="710" t="s">
        <v>2204</v>
      </c>
      <c r="M27" s="710"/>
      <c r="N27" s="362">
        <v>65641.14</v>
      </c>
      <c r="R27" s="363">
        <v>3014570.39</v>
      </c>
    </row>
    <row r="28" spans="1:18" s="360" customFormat="1" ht="11.1" customHeight="1" x14ac:dyDescent="0.25">
      <c r="E28" s="709"/>
      <c r="F28" s="709"/>
      <c r="G28" s="709"/>
      <c r="H28" s="709"/>
    </row>
    <row r="29" spans="1:18" s="93" customFormat="1" ht="11.1" customHeight="1" x14ac:dyDescent="0.25">
      <c r="A29" s="105">
        <v>43866</v>
      </c>
      <c r="C29" s="312" t="s">
        <v>3129</v>
      </c>
      <c r="E29" s="663" t="s">
        <v>3130</v>
      </c>
      <c r="F29" s="663"/>
      <c r="G29" s="663"/>
      <c r="H29" s="663"/>
      <c r="J29" s="312" t="s">
        <v>3131</v>
      </c>
      <c r="L29" s="711" t="s">
        <v>2204</v>
      </c>
      <c r="M29" s="711"/>
      <c r="N29" s="305">
        <v>62272.98</v>
      </c>
      <c r="R29" s="106">
        <v>3076843.37</v>
      </c>
    </row>
    <row r="30" spans="1:18" s="93" customFormat="1" ht="11.1" customHeight="1" x14ac:dyDescent="0.25">
      <c r="E30" s="663"/>
      <c r="F30" s="663"/>
      <c r="G30" s="663"/>
      <c r="H30" s="663"/>
    </row>
    <row r="31" spans="1:18" s="365" customFormat="1" ht="11.1" customHeight="1" x14ac:dyDescent="0.25">
      <c r="A31" s="364">
        <v>43871</v>
      </c>
      <c r="C31" s="366" t="s">
        <v>3132</v>
      </c>
      <c r="E31" s="660" t="s">
        <v>3133</v>
      </c>
      <c r="F31" s="660"/>
      <c r="G31" s="660"/>
      <c r="H31" s="660"/>
      <c r="J31" s="366" t="s">
        <v>3134</v>
      </c>
      <c r="L31" s="714" t="s">
        <v>2204</v>
      </c>
      <c r="M31" s="714"/>
      <c r="N31" s="367">
        <v>887447.66</v>
      </c>
      <c r="R31" s="368">
        <v>3964291.03</v>
      </c>
    </row>
    <row r="32" spans="1:18" s="365" customFormat="1" ht="11.1" customHeight="1" x14ac:dyDescent="0.25">
      <c r="E32" s="660"/>
      <c r="F32" s="660"/>
      <c r="G32" s="660"/>
      <c r="H32" s="660"/>
    </row>
    <row r="33" spans="1:18" ht="13.35" customHeight="1" x14ac:dyDescent="0.25">
      <c r="M33" s="303" t="s">
        <v>2205</v>
      </c>
      <c r="N33" s="310">
        <v>2694040.46</v>
      </c>
      <c r="O33" s="706">
        <v>0</v>
      </c>
      <c r="P33" s="706"/>
    </row>
    <row r="34" spans="1:18" s="354" customFormat="1" ht="11.1" customHeight="1" x14ac:dyDescent="0.25">
      <c r="A34" s="353">
        <v>43894</v>
      </c>
      <c r="C34" s="355" t="s">
        <v>3135</v>
      </c>
      <c r="E34" s="712" t="s">
        <v>3136</v>
      </c>
      <c r="F34" s="712"/>
      <c r="G34" s="712"/>
      <c r="H34" s="712"/>
      <c r="J34" s="355" t="s">
        <v>3125</v>
      </c>
      <c r="L34" s="713" t="s">
        <v>2204</v>
      </c>
      <c r="M34" s="713"/>
      <c r="N34" s="356">
        <v>411544.8</v>
      </c>
      <c r="R34" s="357">
        <v>4375835.83</v>
      </c>
    </row>
    <row r="35" spans="1:18" s="354" customFormat="1" ht="11.1" customHeight="1" x14ac:dyDescent="0.25">
      <c r="E35" s="712"/>
      <c r="F35" s="712"/>
      <c r="G35" s="712"/>
      <c r="H35" s="712"/>
    </row>
    <row r="36" spans="1:18" s="360" customFormat="1" ht="11.1" customHeight="1" x14ac:dyDescent="0.25">
      <c r="A36" s="359">
        <v>43894</v>
      </c>
      <c r="C36" s="361" t="s">
        <v>3137</v>
      </c>
      <c r="E36" s="709" t="s">
        <v>3138</v>
      </c>
      <c r="F36" s="709"/>
      <c r="G36" s="709"/>
      <c r="H36" s="709"/>
      <c r="J36" s="361" t="s">
        <v>3128</v>
      </c>
      <c r="L36" s="710" t="s">
        <v>2204</v>
      </c>
      <c r="M36" s="710"/>
      <c r="N36" s="362">
        <v>66992.350000000006</v>
      </c>
      <c r="R36" s="363">
        <v>4442828.18</v>
      </c>
    </row>
    <row r="37" spans="1:18" s="360" customFormat="1" ht="11.1" customHeight="1" x14ac:dyDescent="0.25">
      <c r="E37" s="709"/>
      <c r="F37" s="709"/>
      <c r="G37" s="709"/>
      <c r="H37" s="709"/>
    </row>
    <row r="38" spans="1:18" s="108" customFormat="1" ht="11.1" customHeight="1" x14ac:dyDescent="0.25">
      <c r="A38" s="107">
        <v>43894</v>
      </c>
      <c r="C38" s="313" t="s">
        <v>3139</v>
      </c>
      <c r="E38" s="669" t="s">
        <v>3140</v>
      </c>
      <c r="F38" s="669"/>
      <c r="G38" s="669"/>
      <c r="H38" s="669"/>
      <c r="J38" s="313" t="s">
        <v>953</v>
      </c>
      <c r="L38" s="707" t="s">
        <v>2204</v>
      </c>
      <c r="M38" s="707"/>
      <c r="N38" s="304">
        <v>458914.83</v>
      </c>
      <c r="R38" s="109">
        <v>4901743.01</v>
      </c>
    </row>
    <row r="39" spans="1:18" s="108" customFormat="1" ht="11.1" customHeight="1" x14ac:dyDescent="0.25">
      <c r="E39" s="669"/>
      <c r="F39" s="669"/>
      <c r="G39" s="669"/>
      <c r="H39" s="669"/>
    </row>
    <row r="40" spans="1:18" s="94" customFormat="1" ht="11.1" customHeight="1" x14ac:dyDescent="0.25">
      <c r="A40" s="336">
        <v>43894</v>
      </c>
      <c r="C40" s="337" t="s">
        <v>3141</v>
      </c>
      <c r="E40" s="708" t="s">
        <v>3142</v>
      </c>
      <c r="F40" s="708"/>
      <c r="G40" s="708"/>
      <c r="H40" s="708"/>
      <c r="J40" s="337" t="s">
        <v>2464</v>
      </c>
      <c r="L40" s="703" t="s">
        <v>2204</v>
      </c>
      <c r="M40" s="703"/>
      <c r="N40" s="338">
        <v>107366.63</v>
      </c>
      <c r="R40" s="339">
        <v>5009109.6399999997</v>
      </c>
    </row>
    <row r="41" spans="1:18" s="94" customFormat="1" ht="11.1" customHeight="1" x14ac:dyDescent="0.25">
      <c r="E41" s="708"/>
      <c r="F41" s="708"/>
      <c r="G41" s="708"/>
      <c r="H41" s="708"/>
    </row>
    <row r="42" spans="1:18" s="94" customFormat="1" ht="11.1" customHeight="1" x14ac:dyDescent="0.25">
      <c r="A42" s="336">
        <v>43894</v>
      </c>
      <c r="C42" s="337" t="s">
        <v>3143</v>
      </c>
      <c r="E42" s="708" t="s">
        <v>3144</v>
      </c>
      <c r="F42" s="708"/>
      <c r="G42" s="708"/>
      <c r="H42" s="708"/>
      <c r="J42" s="337" t="s">
        <v>2464</v>
      </c>
      <c r="L42" s="703" t="s">
        <v>2204</v>
      </c>
      <c r="M42" s="703"/>
      <c r="N42" s="338">
        <v>114670.22</v>
      </c>
      <c r="R42" s="339">
        <v>5123779.8600000003</v>
      </c>
    </row>
    <row r="43" spans="1:18" s="94" customFormat="1" ht="11.1" customHeight="1" x14ac:dyDescent="0.25">
      <c r="E43" s="708"/>
      <c r="F43" s="708"/>
      <c r="G43" s="708"/>
      <c r="H43" s="708"/>
    </row>
    <row r="44" spans="1:18" s="93" customFormat="1" ht="11.1" customHeight="1" x14ac:dyDescent="0.25">
      <c r="A44" s="105">
        <v>43894</v>
      </c>
      <c r="C44" s="312" t="s">
        <v>3145</v>
      </c>
      <c r="E44" s="663" t="s">
        <v>3146</v>
      </c>
      <c r="F44" s="663"/>
      <c r="G44" s="663"/>
      <c r="H44" s="663"/>
      <c r="J44" s="312" t="s">
        <v>3131</v>
      </c>
      <c r="L44" s="711" t="s">
        <v>2204</v>
      </c>
      <c r="M44" s="711"/>
      <c r="N44" s="305">
        <v>63554.87</v>
      </c>
      <c r="R44" s="106">
        <v>5187334.7300000004</v>
      </c>
    </row>
    <row r="45" spans="1:18" s="93" customFormat="1" ht="11.1" customHeight="1" x14ac:dyDescent="0.25">
      <c r="E45" s="663"/>
      <c r="F45" s="663"/>
      <c r="G45" s="663"/>
      <c r="H45" s="663"/>
    </row>
    <row r="46" spans="1:18" s="348" customFormat="1" ht="11.1" customHeight="1" x14ac:dyDescent="0.25">
      <c r="A46" s="349">
        <v>43894</v>
      </c>
      <c r="C46" s="350" t="s">
        <v>3147</v>
      </c>
      <c r="E46" s="704" t="s">
        <v>3148</v>
      </c>
      <c r="F46" s="704"/>
      <c r="G46" s="704"/>
      <c r="H46" s="704"/>
      <c r="J46" s="350" t="s">
        <v>3118</v>
      </c>
      <c r="L46" s="705" t="s">
        <v>2204</v>
      </c>
      <c r="M46" s="705"/>
      <c r="N46" s="351">
        <v>228266.61</v>
      </c>
      <c r="R46" s="352">
        <v>5415601.3399999999</v>
      </c>
    </row>
    <row r="47" spans="1:18" s="348" customFormat="1" ht="11.1" customHeight="1" x14ac:dyDescent="0.25">
      <c r="E47" s="704"/>
      <c r="F47" s="704"/>
      <c r="G47" s="704"/>
      <c r="H47" s="704"/>
    </row>
    <row r="48" spans="1:18" ht="13.35" customHeight="1" x14ac:dyDescent="0.25">
      <c r="M48" s="303" t="s">
        <v>2205</v>
      </c>
      <c r="N48" s="310">
        <v>1451310.31</v>
      </c>
      <c r="O48" s="706">
        <v>0</v>
      </c>
      <c r="P48" s="706"/>
    </row>
    <row r="49" spans="1:18" s="348" customFormat="1" ht="11.1" customHeight="1" x14ac:dyDescent="0.25">
      <c r="A49" s="349">
        <v>43928</v>
      </c>
      <c r="C49" s="350" t="s">
        <v>3149</v>
      </c>
      <c r="E49" s="704" t="s">
        <v>3150</v>
      </c>
      <c r="F49" s="704"/>
      <c r="G49" s="704"/>
      <c r="H49" s="704"/>
      <c r="J49" s="350" t="s">
        <v>3118</v>
      </c>
      <c r="L49" s="705" t="s">
        <v>2204</v>
      </c>
      <c r="M49" s="705"/>
      <c r="N49" s="351">
        <v>239532.07</v>
      </c>
      <c r="R49" s="352">
        <v>5655133.4100000001</v>
      </c>
    </row>
    <row r="50" spans="1:18" s="348" customFormat="1" ht="11.1" customHeight="1" x14ac:dyDescent="0.25">
      <c r="E50" s="704"/>
      <c r="F50" s="704"/>
      <c r="G50" s="704"/>
      <c r="H50" s="704"/>
    </row>
    <row r="51" spans="1:18" s="108" customFormat="1" ht="11.1" customHeight="1" x14ac:dyDescent="0.25">
      <c r="A51" s="107">
        <v>43928</v>
      </c>
      <c r="C51" s="313" t="s">
        <v>3151</v>
      </c>
      <c r="E51" s="669" t="s">
        <v>3152</v>
      </c>
      <c r="F51" s="669"/>
      <c r="G51" s="669"/>
      <c r="H51" s="669"/>
      <c r="J51" s="313" t="s">
        <v>953</v>
      </c>
      <c r="L51" s="707" t="s">
        <v>2204</v>
      </c>
      <c r="M51" s="707"/>
      <c r="N51" s="304">
        <v>481563.32</v>
      </c>
      <c r="R51" s="109">
        <v>6136696.7300000004</v>
      </c>
    </row>
    <row r="52" spans="1:18" s="108" customFormat="1" ht="11.1" customHeight="1" x14ac:dyDescent="0.25">
      <c r="E52" s="669"/>
      <c r="F52" s="669"/>
      <c r="G52" s="669"/>
      <c r="H52" s="669"/>
    </row>
    <row r="53" spans="1:18" s="360" customFormat="1" ht="11.1" customHeight="1" x14ac:dyDescent="0.25">
      <c r="A53" s="359">
        <v>43928</v>
      </c>
      <c r="C53" s="361" t="s">
        <v>3153</v>
      </c>
      <c r="E53" s="709" t="s">
        <v>3154</v>
      </c>
      <c r="F53" s="709"/>
      <c r="G53" s="709"/>
      <c r="H53" s="709"/>
      <c r="J53" s="361" t="s">
        <v>3128</v>
      </c>
      <c r="L53" s="710" t="s">
        <v>2204</v>
      </c>
      <c r="M53" s="710"/>
      <c r="N53" s="362">
        <v>74335.81</v>
      </c>
      <c r="R53" s="363">
        <v>6211032.54</v>
      </c>
    </row>
    <row r="54" spans="1:18" s="360" customFormat="1" ht="11.1" customHeight="1" x14ac:dyDescent="0.25">
      <c r="E54" s="709"/>
      <c r="F54" s="709"/>
      <c r="G54" s="709"/>
      <c r="H54" s="709"/>
    </row>
    <row r="55" spans="1:18" s="354" customFormat="1" ht="11.1" customHeight="1" x14ac:dyDescent="0.25">
      <c r="A55" s="353">
        <v>43928</v>
      </c>
      <c r="C55" s="355" t="s">
        <v>3155</v>
      </c>
      <c r="E55" s="712" t="s">
        <v>3156</v>
      </c>
      <c r="F55" s="712"/>
      <c r="G55" s="712"/>
      <c r="H55" s="712"/>
      <c r="J55" s="355" t="s">
        <v>3125</v>
      </c>
      <c r="L55" s="713" t="s">
        <v>2204</v>
      </c>
      <c r="M55" s="713"/>
      <c r="N55" s="356">
        <v>439927.2</v>
      </c>
      <c r="R55" s="357">
        <v>6650959.7400000002</v>
      </c>
    </row>
    <row r="56" spans="1:18" s="354" customFormat="1" ht="11.1" customHeight="1" x14ac:dyDescent="0.25">
      <c r="E56" s="712"/>
      <c r="F56" s="712"/>
      <c r="G56" s="712"/>
      <c r="H56" s="712"/>
    </row>
    <row r="57" spans="1:18" s="93" customFormat="1" ht="11.1" customHeight="1" x14ac:dyDescent="0.25">
      <c r="A57" s="105">
        <v>43928</v>
      </c>
      <c r="C57" s="312" t="s">
        <v>3157</v>
      </c>
      <c r="E57" s="663" t="s">
        <v>3158</v>
      </c>
      <c r="F57" s="663"/>
      <c r="G57" s="663"/>
      <c r="H57" s="663"/>
      <c r="J57" s="312" t="s">
        <v>3131</v>
      </c>
      <c r="L57" s="711" t="s">
        <v>2204</v>
      </c>
      <c r="M57" s="711"/>
      <c r="N57" s="305">
        <v>70521.509999999995</v>
      </c>
      <c r="R57" s="106">
        <v>6721481.25</v>
      </c>
    </row>
    <row r="58" spans="1:18" s="93" customFormat="1" ht="11.1" customHeight="1" x14ac:dyDescent="0.25">
      <c r="E58" s="663"/>
      <c r="F58" s="663"/>
      <c r="G58" s="663"/>
      <c r="H58" s="663"/>
    </row>
    <row r="59" spans="1:18" s="94" customFormat="1" ht="11.1" customHeight="1" x14ac:dyDescent="0.25">
      <c r="A59" s="336">
        <v>43928</v>
      </c>
      <c r="C59" s="337" t="s">
        <v>3159</v>
      </c>
      <c r="E59" s="708" t="s">
        <v>3160</v>
      </c>
      <c r="F59" s="708"/>
      <c r="G59" s="708"/>
      <c r="H59" s="708"/>
      <c r="J59" s="337" t="s">
        <v>2464</v>
      </c>
      <c r="L59" s="703" t="s">
        <v>2204</v>
      </c>
      <c r="M59" s="703"/>
      <c r="N59" s="338">
        <v>120329.55</v>
      </c>
      <c r="R59" s="339">
        <v>6841810.7999999998</v>
      </c>
    </row>
    <row r="60" spans="1:18" s="94" customFormat="1" ht="11.1" customHeight="1" x14ac:dyDescent="0.25">
      <c r="E60" s="708"/>
      <c r="F60" s="708"/>
      <c r="G60" s="708"/>
      <c r="H60" s="708"/>
    </row>
    <row r="61" spans="1:18" s="94" customFormat="1" ht="11.1" customHeight="1" x14ac:dyDescent="0.25">
      <c r="A61" s="336">
        <v>43928</v>
      </c>
      <c r="C61" s="337" t="s">
        <v>3161</v>
      </c>
      <c r="E61" s="708" t="s">
        <v>3162</v>
      </c>
      <c r="F61" s="708"/>
      <c r="G61" s="708"/>
      <c r="H61" s="708"/>
      <c r="J61" s="337" t="s">
        <v>2464</v>
      </c>
      <c r="L61" s="703" t="s">
        <v>2204</v>
      </c>
      <c r="M61" s="703"/>
      <c r="N61" s="338">
        <v>124913.27</v>
      </c>
      <c r="R61" s="339">
        <v>6966724.0700000003</v>
      </c>
    </row>
    <row r="62" spans="1:18" s="94" customFormat="1" ht="11.1" customHeight="1" x14ac:dyDescent="0.25">
      <c r="E62" s="708"/>
      <c r="F62" s="708"/>
      <c r="G62" s="708"/>
      <c r="H62" s="708"/>
    </row>
    <row r="63" spans="1:18" s="94" customFormat="1" ht="11.1" customHeight="1" x14ac:dyDescent="0.25">
      <c r="A63" s="336">
        <v>43928</v>
      </c>
      <c r="C63" s="337" t="s">
        <v>3163</v>
      </c>
      <c r="E63" s="708" t="s">
        <v>3164</v>
      </c>
      <c r="F63" s="708"/>
      <c r="G63" s="708"/>
      <c r="H63" s="708"/>
      <c r="J63" s="337" t="s">
        <v>2464</v>
      </c>
      <c r="L63" s="703" t="s">
        <v>2204</v>
      </c>
      <c r="M63" s="703"/>
      <c r="N63" s="338">
        <v>214539.84</v>
      </c>
      <c r="R63" s="339">
        <v>7181263.9100000001</v>
      </c>
    </row>
    <row r="64" spans="1:18" s="94" customFormat="1" ht="11.1" customHeight="1" x14ac:dyDescent="0.25">
      <c r="E64" s="708"/>
      <c r="F64" s="708"/>
      <c r="G64" s="708"/>
      <c r="H64" s="708"/>
    </row>
    <row r="65" spans="1:18" ht="13.35" customHeight="1" x14ac:dyDescent="0.25">
      <c r="M65" s="303" t="s">
        <v>2205</v>
      </c>
      <c r="N65" s="310">
        <v>1765662.57</v>
      </c>
      <c r="O65" s="706">
        <v>0</v>
      </c>
      <c r="P65" s="706"/>
    </row>
    <row r="66" spans="1:18" s="94" customFormat="1" ht="11.1" customHeight="1" x14ac:dyDescent="0.25">
      <c r="A66" s="336">
        <v>43957</v>
      </c>
      <c r="C66" s="337" t="s">
        <v>3165</v>
      </c>
      <c r="E66" s="708" t="s">
        <v>3166</v>
      </c>
      <c r="F66" s="708"/>
      <c r="G66" s="708"/>
      <c r="H66" s="708"/>
      <c r="J66" s="337" t="s">
        <v>2464</v>
      </c>
      <c r="L66" s="703" t="s">
        <v>2204</v>
      </c>
      <c r="M66" s="703"/>
      <c r="N66" s="338">
        <v>207619.20000000001</v>
      </c>
      <c r="R66" s="339">
        <v>7388883.1100000003</v>
      </c>
    </row>
    <row r="67" spans="1:18" s="94" customFormat="1" ht="11.1" customHeight="1" x14ac:dyDescent="0.25">
      <c r="E67" s="708"/>
      <c r="F67" s="708"/>
      <c r="G67" s="708"/>
      <c r="H67" s="708"/>
    </row>
    <row r="68" spans="1:18" s="94" customFormat="1" ht="11.1" customHeight="1" x14ac:dyDescent="0.25">
      <c r="A68" s="336">
        <v>43957</v>
      </c>
      <c r="C68" s="337" t="s">
        <v>3167</v>
      </c>
      <c r="E68" s="708" t="s">
        <v>3168</v>
      </c>
      <c r="F68" s="708"/>
      <c r="G68" s="708"/>
      <c r="H68" s="708"/>
      <c r="J68" s="337" t="s">
        <v>2464</v>
      </c>
      <c r="L68" s="703" t="s">
        <v>2204</v>
      </c>
      <c r="M68" s="703"/>
      <c r="N68" s="338">
        <v>116531.19</v>
      </c>
      <c r="R68" s="339">
        <v>7505414.2999999998</v>
      </c>
    </row>
    <row r="69" spans="1:18" s="94" customFormat="1" ht="11.1" customHeight="1" x14ac:dyDescent="0.25">
      <c r="E69" s="708"/>
      <c r="F69" s="708"/>
      <c r="G69" s="708"/>
      <c r="H69" s="708"/>
    </row>
    <row r="70" spans="1:18" s="94" customFormat="1" ht="11.1" customHeight="1" x14ac:dyDescent="0.25">
      <c r="A70" s="336">
        <v>43957</v>
      </c>
      <c r="C70" s="337" t="s">
        <v>3169</v>
      </c>
      <c r="E70" s="708" t="s">
        <v>3170</v>
      </c>
      <c r="F70" s="708"/>
      <c r="G70" s="708"/>
      <c r="H70" s="708"/>
      <c r="J70" s="337" t="s">
        <v>2464</v>
      </c>
      <c r="L70" s="703" t="s">
        <v>2204</v>
      </c>
      <c r="M70" s="703"/>
      <c r="N70" s="338">
        <v>113236.32</v>
      </c>
      <c r="R70" s="339">
        <v>7618650.6200000001</v>
      </c>
    </row>
    <row r="71" spans="1:18" s="94" customFormat="1" ht="11.1" customHeight="1" x14ac:dyDescent="0.25">
      <c r="E71" s="708"/>
      <c r="F71" s="708"/>
      <c r="G71" s="708"/>
      <c r="H71" s="708"/>
    </row>
    <row r="72" spans="1:18" s="108" customFormat="1" ht="11.1" customHeight="1" x14ac:dyDescent="0.25">
      <c r="A72" s="107">
        <v>43957</v>
      </c>
      <c r="C72" s="313" t="s">
        <v>3171</v>
      </c>
      <c r="E72" s="669" t="s">
        <v>3172</v>
      </c>
      <c r="F72" s="669"/>
      <c r="G72" s="669"/>
      <c r="H72" s="669"/>
      <c r="J72" s="313" t="s">
        <v>953</v>
      </c>
      <c r="L72" s="707" t="s">
        <v>2204</v>
      </c>
      <c r="M72" s="707"/>
      <c r="N72" s="304">
        <v>466361.73</v>
      </c>
      <c r="R72" s="109">
        <v>8085012.3499999996</v>
      </c>
    </row>
    <row r="73" spans="1:18" s="108" customFormat="1" ht="11.1" customHeight="1" x14ac:dyDescent="0.25">
      <c r="E73" s="669"/>
      <c r="F73" s="669"/>
      <c r="G73" s="669"/>
      <c r="H73" s="669"/>
    </row>
    <row r="74" spans="1:18" s="354" customFormat="1" ht="11.1" customHeight="1" x14ac:dyDescent="0.25">
      <c r="A74" s="353">
        <v>43957</v>
      </c>
      <c r="C74" s="355" t="s">
        <v>3173</v>
      </c>
      <c r="E74" s="712" t="s">
        <v>3174</v>
      </c>
      <c r="F74" s="712"/>
      <c r="G74" s="712"/>
      <c r="H74" s="712"/>
      <c r="J74" s="355" t="s">
        <v>3125</v>
      </c>
      <c r="L74" s="713" t="s">
        <v>2204</v>
      </c>
      <c r="M74" s="713"/>
      <c r="N74" s="356">
        <v>425736</v>
      </c>
      <c r="R74" s="357">
        <v>8510748.3499999996</v>
      </c>
    </row>
    <row r="75" spans="1:18" s="354" customFormat="1" ht="11.1" customHeight="1" x14ac:dyDescent="0.25">
      <c r="E75" s="712"/>
      <c r="F75" s="712"/>
      <c r="G75" s="712"/>
      <c r="H75" s="712"/>
    </row>
    <row r="76" spans="1:18" s="348" customFormat="1" ht="11.1" customHeight="1" x14ac:dyDescent="0.25">
      <c r="A76" s="349">
        <v>43957</v>
      </c>
      <c r="C76" s="350" t="s">
        <v>3175</v>
      </c>
      <c r="E76" s="704" t="s">
        <v>3176</v>
      </c>
      <c r="F76" s="704"/>
      <c r="G76" s="704"/>
      <c r="H76" s="704"/>
      <c r="J76" s="350" t="s">
        <v>3118</v>
      </c>
      <c r="L76" s="705" t="s">
        <v>2204</v>
      </c>
      <c r="M76" s="705"/>
      <c r="N76" s="351">
        <v>231970.73</v>
      </c>
      <c r="R76" s="352">
        <v>8742719.0800000001</v>
      </c>
    </row>
    <row r="77" spans="1:18" s="348" customFormat="1" ht="11.1" customHeight="1" x14ac:dyDescent="0.25">
      <c r="E77" s="704"/>
      <c r="F77" s="704"/>
      <c r="G77" s="704"/>
      <c r="H77" s="704"/>
    </row>
    <row r="78" spans="1:18" s="360" customFormat="1" ht="11.1" customHeight="1" x14ac:dyDescent="0.25">
      <c r="A78" s="359">
        <v>43957</v>
      </c>
      <c r="C78" s="361" t="s">
        <v>3177</v>
      </c>
      <c r="E78" s="709" t="s">
        <v>3178</v>
      </c>
      <c r="F78" s="709"/>
      <c r="G78" s="709"/>
      <c r="H78" s="709"/>
      <c r="J78" s="361" t="s">
        <v>2901</v>
      </c>
      <c r="L78" s="710" t="s">
        <v>3179</v>
      </c>
      <c r="M78" s="710"/>
      <c r="N78" s="362">
        <v>69853.83</v>
      </c>
      <c r="R78" s="363">
        <v>8812572.9100000001</v>
      </c>
    </row>
    <row r="79" spans="1:18" s="360" customFormat="1" ht="11.1" customHeight="1" x14ac:dyDescent="0.25">
      <c r="E79" s="709"/>
      <c r="F79" s="709"/>
      <c r="G79" s="709"/>
      <c r="H79" s="709"/>
    </row>
    <row r="80" spans="1:18" s="93" customFormat="1" ht="11.1" customHeight="1" x14ac:dyDescent="0.25">
      <c r="A80" s="105">
        <v>43957</v>
      </c>
      <c r="C80" s="312" t="s">
        <v>3180</v>
      </c>
      <c r="E80" s="663" t="s">
        <v>3181</v>
      </c>
      <c r="F80" s="663"/>
      <c r="G80" s="663"/>
      <c r="H80" s="663"/>
      <c r="J80" s="312" t="s">
        <v>3131</v>
      </c>
      <c r="L80" s="711" t="s">
        <v>2204</v>
      </c>
      <c r="M80" s="711"/>
      <c r="N80" s="305">
        <v>66269.509999999995</v>
      </c>
      <c r="R80" s="106">
        <v>8878842.4199999999</v>
      </c>
    </row>
    <row r="81" spans="1:18" s="93" customFormat="1" ht="11.1" customHeight="1" x14ac:dyDescent="0.25">
      <c r="E81" s="663"/>
      <c r="F81" s="663"/>
      <c r="G81" s="663"/>
      <c r="H81" s="663"/>
    </row>
    <row r="82" spans="1:18" ht="13.35" customHeight="1" x14ac:dyDescent="0.25">
      <c r="M82" s="303" t="s">
        <v>2205</v>
      </c>
      <c r="N82" s="310">
        <v>1697578.51</v>
      </c>
      <c r="O82" s="706">
        <v>0</v>
      </c>
      <c r="P82" s="706"/>
    </row>
    <row r="83" spans="1:18" s="93" customFormat="1" ht="11.1" customHeight="1" x14ac:dyDescent="0.25">
      <c r="A83" s="105">
        <v>43983</v>
      </c>
      <c r="C83" s="312" t="s">
        <v>3182</v>
      </c>
      <c r="E83" s="663" t="s">
        <v>3183</v>
      </c>
      <c r="F83" s="663"/>
      <c r="G83" s="663"/>
      <c r="H83" s="663"/>
      <c r="J83" s="312" t="s">
        <v>2902</v>
      </c>
      <c r="L83" s="711" t="s">
        <v>2204</v>
      </c>
      <c r="M83" s="711"/>
      <c r="N83" s="305">
        <v>70994.149999999994</v>
      </c>
      <c r="R83" s="106">
        <v>8949836.5700000003</v>
      </c>
    </row>
    <row r="84" spans="1:18" s="93" customFormat="1" ht="11.1" customHeight="1" x14ac:dyDescent="0.25">
      <c r="E84" s="663"/>
      <c r="F84" s="663"/>
      <c r="G84" s="663"/>
      <c r="H84" s="663"/>
    </row>
    <row r="85" spans="1:18" s="94" customFormat="1" ht="11.1" customHeight="1" x14ac:dyDescent="0.25">
      <c r="A85" s="336">
        <v>43983</v>
      </c>
      <c r="C85" s="337" t="s">
        <v>3184</v>
      </c>
      <c r="E85" s="708" t="s">
        <v>3185</v>
      </c>
      <c r="F85" s="708"/>
      <c r="G85" s="708"/>
      <c r="H85" s="708"/>
      <c r="J85" s="337" t="s">
        <v>2464</v>
      </c>
      <c r="L85" s="703" t="s">
        <v>2204</v>
      </c>
      <c r="M85" s="703"/>
      <c r="N85" s="338">
        <v>115478.28</v>
      </c>
      <c r="R85" s="339">
        <v>9065314.8499999996</v>
      </c>
    </row>
    <row r="86" spans="1:18" s="94" customFormat="1" ht="11.1" customHeight="1" x14ac:dyDescent="0.25">
      <c r="E86" s="708"/>
      <c r="F86" s="708"/>
      <c r="G86" s="708"/>
      <c r="H86" s="708"/>
    </row>
    <row r="87" spans="1:18" s="360" customFormat="1" ht="11.1" customHeight="1" x14ac:dyDescent="0.25">
      <c r="A87" s="359">
        <v>43983</v>
      </c>
      <c r="C87" s="361" t="s">
        <v>3186</v>
      </c>
      <c r="E87" s="709" t="s">
        <v>3187</v>
      </c>
      <c r="F87" s="709"/>
      <c r="G87" s="709"/>
      <c r="H87" s="709"/>
      <c r="J87" s="361" t="s">
        <v>2901</v>
      </c>
      <c r="L87" s="710" t="s">
        <v>2204</v>
      </c>
      <c r="M87" s="710"/>
      <c r="N87" s="362">
        <v>74834.070000000007</v>
      </c>
      <c r="R87" s="363">
        <v>9140148.9199999999</v>
      </c>
    </row>
    <row r="88" spans="1:18" s="360" customFormat="1" ht="11.1" customHeight="1" x14ac:dyDescent="0.25">
      <c r="E88" s="709"/>
      <c r="F88" s="709"/>
      <c r="G88" s="709"/>
      <c r="H88" s="709"/>
    </row>
    <row r="89" spans="1:18" s="354" customFormat="1" ht="11.1" customHeight="1" x14ac:dyDescent="0.25">
      <c r="A89" s="353">
        <v>43983</v>
      </c>
      <c r="C89" s="355" t="s">
        <v>3188</v>
      </c>
      <c r="E89" s="712" t="s">
        <v>3189</v>
      </c>
      <c r="F89" s="712"/>
      <c r="G89" s="712"/>
      <c r="H89" s="712"/>
      <c r="J89" s="355" t="s">
        <v>2906</v>
      </c>
      <c r="L89" s="713" t="s">
        <v>2204</v>
      </c>
      <c r="M89" s="713"/>
      <c r="N89" s="356">
        <v>439927.2</v>
      </c>
      <c r="R89" s="357">
        <v>9580076.1199999992</v>
      </c>
    </row>
    <row r="90" spans="1:18" s="354" customFormat="1" ht="11.1" customHeight="1" x14ac:dyDescent="0.25">
      <c r="E90" s="712"/>
      <c r="F90" s="712"/>
      <c r="G90" s="712"/>
      <c r="H90" s="712"/>
    </row>
    <row r="91" spans="1:18" s="94" customFormat="1" ht="11.1" customHeight="1" x14ac:dyDescent="0.25">
      <c r="A91" s="336">
        <v>43984</v>
      </c>
      <c r="C91" s="337" t="s">
        <v>3190</v>
      </c>
      <c r="E91" s="708" t="s">
        <v>3191</v>
      </c>
      <c r="F91" s="708"/>
      <c r="G91" s="708"/>
      <c r="H91" s="708"/>
      <c r="J91" s="337" t="s">
        <v>2464</v>
      </c>
      <c r="L91" s="703" t="s">
        <v>2204</v>
      </c>
      <c r="M91" s="703"/>
      <c r="N91" s="338">
        <v>214539.84</v>
      </c>
      <c r="R91" s="339">
        <v>9794615.9600000009</v>
      </c>
    </row>
    <row r="92" spans="1:18" s="94" customFormat="1" ht="11.1" customHeight="1" x14ac:dyDescent="0.25">
      <c r="E92" s="708"/>
      <c r="F92" s="708"/>
      <c r="G92" s="708"/>
      <c r="H92" s="708"/>
    </row>
    <row r="93" spans="1:18" s="108" customFormat="1" ht="11.1" customHeight="1" x14ac:dyDescent="0.25">
      <c r="A93" s="107">
        <v>43984</v>
      </c>
      <c r="C93" s="313" t="s">
        <v>3192</v>
      </c>
      <c r="E93" s="669" t="s">
        <v>3193</v>
      </c>
      <c r="F93" s="669"/>
      <c r="G93" s="669"/>
      <c r="H93" s="669"/>
      <c r="J93" s="313" t="s">
        <v>953</v>
      </c>
      <c r="L93" s="707" t="s">
        <v>2204</v>
      </c>
      <c r="M93" s="707"/>
      <c r="N93" s="304">
        <v>484790.99</v>
      </c>
      <c r="R93" s="109">
        <v>10279406.949999999</v>
      </c>
    </row>
    <row r="94" spans="1:18" s="108" customFormat="1" ht="11.1" customHeight="1" x14ac:dyDescent="0.25">
      <c r="E94" s="669"/>
      <c r="F94" s="669"/>
      <c r="G94" s="669"/>
      <c r="H94" s="669"/>
    </row>
    <row r="95" spans="1:18" s="94" customFormat="1" ht="11.1" customHeight="1" x14ac:dyDescent="0.25">
      <c r="A95" s="336">
        <v>43985</v>
      </c>
      <c r="C95" s="337" t="s">
        <v>3194</v>
      </c>
      <c r="E95" s="708" t="s">
        <v>3195</v>
      </c>
      <c r="F95" s="708"/>
      <c r="G95" s="708"/>
      <c r="H95" s="708"/>
      <c r="J95" s="337" t="s">
        <v>2464</v>
      </c>
      <c r="L95" s="703" t="s">
        <v>2204</v>
      </c>
      <c r="M95" s="703"/>
      <c r="N95" s="338">
        <v>121135.98</v>
      </c>
      <c r="R95" s="339">
        <v>10400542.93</v>
      </c>
    </row>
    <row r="96" spans="1:18" s="94" customFormat="1" ht="11.1" customHeight="1" x14ac:dyDescent="0.25">
      <c r="E96" s="708"/>
      <c r="F96" s="708"/>
      <c r="G96" s="708"/>
      <c r="H96" s="708"/>
    </row>
    <row r="97" spans="1:18" s="348" customFormat="1" ht="11.1" customHeight="1" x14ac:dyDescent="0.25">
      <c r="A97" s="349">
        <v>43985</v>
      </c>
      <c r="C97" s="350" t="s">
        <v>3196</v>
      </c>
      <c r="E97" s="704" t="s">
        <v>3197</v>
      </c>
      <c r="F97" s="704"/>
      <c r="G97" s="704"/>
      <c r="H97" s="704"/>
      <c r="J97" s="350" t="s">
        <v>2904</v>
      </c>
      <c r="L97" s="705" t="s">
        <v>2204</v>
      </c>
      <c r="M97" s="705"/>
      <c r="N97" s="351">
        <v>241137.57</v>
      </c>
      <c r="R97" s="352">
        <v>10641680.5</v>
      </c>
    </row>
    <row r="98" spans="1:18" s="348" customFormat="1" ht="11.1" customHeight="1" x14ac:dyDescent="0.25">
      <c r="E98" s="704"/>
      <c r="F98" s="704"/>
      <c r="G98" s="704"/>
      <c r="H98" s="704"/>
    </row>
    <row r="99" spans="1:18" ht="13.35" customHeight="1" x14ac:dyDescent="0.25">
      <c r="M99" s="303" t="s">
        <v>2205</v>
      </c>
      <c r="N99" s="310">
        <v>1762838.08</v>
      </c>
      <c r="O99" s="706">
        <v>0</v>
      </c>
      <c r="P99" s="706"/>
    </row>
    <row r="100" spans="1:18" s="354" customFormat="1" ht="11.1" customHeight="1" x14ac:dyDescent="0.25">
      <c r="A100" s="353">
        <v>44013</v>
      </c>
      <c r="C100" s="355" t="s">
        <v>3198</v>
      </c>
      <c r="E100" s="712" t="s">
        <v>3199</v>
      </c>
      <c r="F100" s="712"/>
      <c r="G100" s="712"/>
      <c r="H100" s="712"/>
      <c r="J100" s="355" t="s">
        <v>2906</v>
      </c>
      <c r="L100" s="713" t="s">
        <v>2204</v>
      </c>
      <c r="M100" s="713"/>
      <c r="N100" s="356">
        <v>425736</v>
      </c>
      <c r="R100" s="357">
        <v>11067416.5</v>
      </c>
    </row>
    <row r="101" spans="1:18" s="354" customFormat="1" ht="11.1" customHeight="1" x14ac:dyDescent="0.25">
      <c r="E101" s="712"/>
      <c r="F101" s="712"/>
      <c r="G101" s="712"/>
      <c r="H101" s="712"/>
    </row>
    <row r="102" spans="1:18" s="108" customFormat="1" ht="11.1" customHeight="1" x14ac:dyDescent="0.25">
      <c r="A102" s="107">
        <v>44013</v>
      </c>
      <c r="C102" s="313" t="s">
        <v>3200</v>
      </c>
      <c r="E102" s="669" t="s">
        <v>3201</v>
      </c>
      <c r="F102" s="669"/>
      <c r="G102" s="669"/>
      <c r="H102" s="669"/>
      <c r="J102" s="313" t="s">
        <v>953</v>
      </c>
      <c r="L102" s="707" t="s">
        <v>2204</v>
      </c>
      <c r="M102" s="707"/>
      <c r="N102" s="304">
        <v>483494.5</v>
      </c>
      <c r="R102" s="109">
        <v>11550911</v>
      </c>
    </row>
    <row r="103" spans="1:18" s="108" customFormat="1" ht="11.1" customHeight="1" x14ac:dyDescent="0.25">
      <c r="E103" s="669"/>
      <c r="F103" s="669"/>
      <c r="G103" s="669"/>
      <c r="H103" s="669"/>
    </row>
    <row r="104" spans="1:18" s="94" customFormat="1" ht="11.1" customHeight="1" x14ac:dyDescent="0.25">
      <c r="A104" s="336">
        <v>44013</v>
      </c>
      <c r="C104" s="337" t="s">
        <v>3202</v>
      </c>
      <c r="E104" s="708" t="s">
        <v>3203</v>
      </c>
      <c r="F104" s="708"/>
      <c r="G104" s="708"/>
      <c r="H104" s="708"/>
      <c r="J104" s="337" t="s">
        <v>2464</v>
      </c>
      <c r="L104" s="703" t="s">
        <v>2204</v>
      </c>
      <c r="M104" s="703"/>
      <c r="N104" s="338">
        <v>120812.04</v>
      </c>
      <c r="R104" s="339">
        <v>11671723.039999999</v>
      </c>
    </row>
    <row r="105" spans="1:18" s="94" customFormat="1" ht="11.1" customHeight="1" x14ac:dyDescent="0.25">
      <c r="E105" s="708"/>
      <c r="F105" s="708"/>
      <c r="G105" s="708"/>
      <c r="H105" s="708"/>
    </row>
    <row r="106" spans="1:18" s="94" customFormat="1" ht="11.1" customHeight="1" x14ac:dyDescent="0.25">
      <c r="A106" s="336">
        <v>44013</v>
      </c>
      <c r="C106" s="337" t="s">
        <v>3204</v>
      </c>
      <c r="E106" s="708" t="s">
        <v>3205</v>
      </c>
      <c r="F106" s="708"/>
      <c r="G106" s="708"/>
      <c r="H106" s="708"/>
      <c r="J106" s="337" t="s">
        <v>2464</v>
      </c>
      <c r="L106" s="703" t="s">
        <v>2204</v>
      </c>
      <c r="M106" s="703"/>
      <c r="N106" s="338">
        <v>207619.20000000001</v>
      </c>
      <c r="R106" s="339">
        <v>11879342.24</v>
      </c>
    </row>
    <row r="107" spans="1:18" s="94" customFormat="1" ht="11.1" customHeight="1" x14ac:dyDescent="0.25">
      <c r="E107" s="708"/>
      <c r="F107" s="708"/>
      <c r="G107" s="708"/>
      <c r="H107" s="708"/>
    </row>
    <row r="108" spans="1:18" s="94" customFormat="1" ht="11.1" customHeight="1" x14ac:dyDescent="0.25">
      <c r="A108" s="336">
        <v>44013</v>
      </c>
      <c r="C108" s="337" t="s">
        <v>3206</v>
      </c>
      <c r="E108" s="708" t="s">
        <v>3207</v>
      </c>
      <c r="F108" s="708"/>
      <c r="G108" s="708"/>
      <c r="H108" s="708"/>
      <c r="J108" s="337" t="s">
        <v>2464</v>
      </c>
      <c r="L108" s="703" t="s">
        <v>2204</v>
      </c>
      <c r="M108" s="703"/>
      <c r="N108" s="338">
        <v>131728.42000000001</v>
      </c>
      <c r="R108" s="339">
        <v>12011070.66</v>
      </c>
    </row>
    <row r="109" spans="1:18" s="94" customFormat="1" ht="11.1" customHeight="1" x14ac:dyDescent="0.25">
      <c r="E109" s="708"/>
      <c r="F109" s="708"/>
      <c r="G109" s="708"/>
      <c r="H109" s="708"/>
    </row>
    <row r="110" spans="1:18" s="93" customFormat="1" ht="11.1" customHeight="1" x14ac:dyDescent="0.25">
      <c r="A110" s="105">
        <v>44013</v>
      </c>
      <c r="C110" s="312" t="s">
        <v>3208</v>
      </c>
      <c r="E110" s="663" t="s">
        <v>3209</v>
      </c>
      <c r="F110" s="663"/>
      <c r="G110" s="663"/>
      <c r="H110" s="663"/>
      <c r="J110" s="312" t="s">
        <v>2902</v>
      </c>
      <c r="L110" s="711" t="s">
        <v>2204</v>
      </c>
      <c r="M110" s="711"/>
      <c r="N110" s="305">
        <v>70804.3</v>
      </c>
      <c r="R110" s="106">
        <v>12081874.960000001</v>
      </c>
    </row>
    <row r="111" spans="1:18" s="93" customFormat="1" ht="11.1" customHeight="1" x14ac:dyDescent="0.25">
      <c r="E111" s="663"/>
      <c r="F111" s="663"/>
      <c r="G111" s="663"/>
      <c r="H111" s="663"/>
    </row>
    <row r="112" spans="1:18" s="360" customFormat="1" ht="11.1" customHeight="1" x14ac:dyDescent="0.25">
      <c r="A112" s="359">
        <v>44014</v>
      </c>
      <c r="C112" s="361" t="s">
        <v>3210</v>
      </c>
      <c r="E112" s="709" t="s">
        <v>3211</v>
      </c>
      <c r="F112" s="709"/>
      <c r="G112" s="709"/>
      <c r="H112" s="709"/>
      <c r="J112" s="361" t="s">
        <v>2901</v>
      </c>
      <c r="L112" s="710" t="s">
        <v>2204</v>
      </c>
      <c r="M112" s="710"/>
      <c r="N112" s="362">
        <v>74633.899999999994</v>
      </c>
      <c r="R112" s="363">
        <v>12156508.859999999</v>
      </c>
    </row>
    <row r="113" spans="1:18" s="360" customFormat="1" ht="11.1" customHeight="1" x14ac:dyDescent="0.25">
      <c r="E113" s="709"/>
      <c r="F113" s="709"/>
      <c r="G113" s="709"/>
      <c r="H113" s="709"/>
    </row>
    <row r="114" spans="1:18" s="348" customFormat="1" ht="11.1" customHeight="1" x14ac:dyDescent="0.25">
      <c r="A114" s="349">
        <v>44015</v>
      </c>
      <c r="C114" s="350" t="s">
        <v>3212</v>
      </c>
      <c r="E114" s="704" t="s">
        <v>3213</v>
      </c>
      <c r="F114" s="704"/>
      <c r="G114" s="704"/>
      <c r="H114" s="704"/>
      <c r="J114" s="350" t="s">
        <v>2904</v>
      </c>
      <c r="L114" s="705" t="s">
        <v>2204</v>
      </c>
      <c r="M114" s="705"/>
      <c r="N114" s="351">
        <v>240492.71</v>
      </c>
      <c r="R114" s="352">
        <v>12397001.57</v>
      </c>
    </row>
    <row r="115" spans="1:18" s="348" customFormat="1" ht="11.1" customHeight="1" x14ac:dyDescent="0.25">
      <c r="E115" s="704"/>
      <c r="F115" s="704"/>
      <c r="G115" s="704"/>
      <c r="H115" s="704"/>
    </row>
    <row r="116" spans="1:18" ht="13.35" customHeight="1" x14ac:dyDescent="0.25">
      <c r="M116" s="303" t="s">
        <v>2205</v>
      </c>
      <c r="N116" s="310">
        <v>1755321.07</v>
      </c>
      <c r="O116" s="706">
        <v>0</v>
      </c>
      <c r="P116" s="706"/>
    </row>
    <row r="117" spans="1:18" s="360" customFormat="1" ht="11.1" customHeight="1" x14ac:dyDescent="0.25">
      <c r="A117" s="359">
        <v>44047</v>
      </c>
      <c r="C117" s="361" t="s">
        <v>3214</v>
      </c>
      <c r="E117" s="709" t="s">
        <v>3215</v>
      </c>
      <c r="F117" s="709"/>
      <c r="G117" s="709"/>
      <c r="H117" s="709"/>
      <c r="J117" s="361" t="s">
        <v>2901</v>
      </c>
      <c r="L117" s="710" t="s">
        <v>2204</v>
      </c>
      <c r="M117" s="710"/>
      <c r="N117" s="362">
        <v>71215.570000000007</v>
      </c>
      <c r="R117" s="363">
        <v>12468217.140000001</v>
      </c>
    </row>
    <row r="118" spans="1:18" s="360" customFormat="1" ht="11.1" customHeight="1" x14ac:dyDescent="0.25">
      <c r="E118" s="709"/>
      <c r="F118" s="709"/>
      <c r="G118" s="709"/>
      <c r="H118" s="709"/>
    </row>
    <row r="119" spans="1:18" s="354" customFormat="1" ht="11.1" customHeight="1" x14ac:dyDescent="0.25">
      <c r="A119" s="353">
        <v>44047</v>
      </c>
      <c r="C119" s="355" t="s">
        <v>3216</v>
      </c>
      <c r="E119" s="712" t="s">
        <v>3217</v>
      </c>
      <c r="F119" s="712"/>
      <c r="G119" s="712"/>
      <c r="H119" s="712"/>
      <c r="J119" s="355" t="s">
        <v>2906</v>
      </c>
      <c r="L119" s="713" t="s">
        <v>2204</v>
      </c>
      <c r="M119" s="713"/>
      <c r="N119" s="356">
        <v>478094.4</v>
      </c>
      <c r="R119" s="357">
        <v>12946311.539999999</v>
      </c>
    </row>
    <row r="120" spans="1:18" s="354" customFormat="1" ht="11.1" customHeight="1" x14ac:dyDescent="0.25">
      <c r="E120" s="712"/>
      <c r="F120" s="712"/>
      <c r="G120" s="712"/>
      <c r="H120" s="712"/>
    </row>
    <row r="121" spans="1:18" s="94" customFormat="1" ht="11.1" customHeight="1" x14ac:dyDescent="0.25">
      <c r="A121" s="336">
        <v>44047</v>
      </c>
      <c r="C121" s="337" t="s">
        <v>3218</v>
      </c>
      <c r="E121" s="708" t="s">
        <v>3219</v>
      </c>
      <c r="F121" s="708"/>
      <c r="G121" s="708"/>
      <c r="H121" s="708"/>
      <c r="J121" s="337" t="s">
        <v>2464</v>
      </c>
      <c r="L121" s="703" t="s">
        <v>2204</v>
      </c>
      <c r="M121" s="703"/>
      <c r="N121" s="338">
        <v>214539.84</v>
      </c>
      <c r="R121" s="339">
        <v>13160851.380000001</v>
      </c>
    </row>
    <row r="122" spans="1:18" s="94" customFormat="1" ht="11.1" customHeight="1" x14ac:dyDescent="0.25">
      <c r="E122" s="708"/>
      <c r="F122" s="708"/>
      <c r="G122" s="708"/>
      <c r="H122" s="708"/>
    </row>
    <row r="123" spans="1:18" s="94" customFormat="1" ht="11.1" customHeight="1" x14ac:dyDescent="0.25">
      <c r="A123" s="336">
        <v>44047</v>
      </c>
      <c r="C123" s="337" t="s">
        <v>3220</v>
      </c>
      <c r="E123" s="708" t="s">
        <v>3221</v>
      </c>
      <c r="F123" s="708"/>
      <c r="G123" s="708"/>
      <c r="H123" s="708"/>
      <c r="J123" s="337" t="s">
        <v>2464</v>
      </c>
      <c r="L123" s="703" t="s">
        <v>2204</v>
      </c>
      <c r="M123" s="703"/>
      <c r="N123" s="338">
        <v>140896.49</v>
      </c>
      <c r="R123" s="339">
        <v>13301747.869999999</v>
      </c>
    </row>
    <row r="124" spans="1:18" s="94" customFormat="1" ht="11.1" customHeight="1" x14ac:dyDescent="0.25">
      <c r="E124" s="708"/>
      <c r="F124" s="708"/>
      <c r="G124" s="708"/>
      <c r="H124" s="708"/>
    </row>
    <row r="125" spans="1:18" s="94" customFormat="1" ht="11.1" customHeight="1" x14ac:dyDescent="0.25">
      <c r="A125" s="336">
        <v>44047</v>
      </c>
      <c r="C125" s="337" t="s">
        <v>3222</v>
      </c>
      <c r="E125" s="708" t="s">
        <v>3223</v>
      </c>
      <c r="F125" s="708"/>
      <c r="G125" s="708"/>
      <c r="H125" s="708"/>
      <c r="J125" s="337" t="s">
        <v>2464</v>
      </c>
      <c r="L125" s="703" t="s">
        <v>2204</v>
      </c>
      <c r="M125" s="703"/>
      <c r="N125" s="338">
        <v>136178.49</v>
      </c>
      <c r="R125" s="339">
        <v>13437926.359999999</v>
      </c>
    </row>
    <row r="126" spans="1:18" s="94" customFormat="1" ht="11.1" customHeight="1" x14ac:dyDescent="0.25">
      <c r="E126" s="708"/>
      <c r="F126" s="708"/>
      <c r="G126" s="708"/>
      <c r="H126" s="708"/>
    </row>
    <row r="127" spans="1:18" s="93" customFormat="1" ht="11.1" customHeight="1" x14ac:dyDescent="0.25">
      <c r="A127" s="105">
        <v>44047</v>
      </c>
      <c r="C127" s="312" t="s">
        <v>3224</v>
      </c>
      <c r="E127" s="663" t="s">
        <v>3225</v>
      </c>
      <c r="F127" s="663"/>
      <c r="G127" s="663"/>
      <c r="H127" s="663"/>
      <c r="J127" s="312" t="s">
        <v>2902</v>
      </c>
      <c r="L127" s="711" t="s">
        <v>2204</v>
      </c>
      <c r="M127" s="711"/>
      <c r="N127" s="305">
        <v>67561.37</v>
      </c>
      <c r="R127" s="106">
        <v>13505487.73</v>
      </c>
    </row>
    <row r="128" spans="1:18" s="93" customFormat="1" ht="11.1" customHeight="1" x14ac:dyDescent="0.25">
      <c r="E128" s="663"/>
      <c r="F128" s="663"/>
      <c r="G128" s="663"/>
      <c r="H128" s="663"/>
    </row>
    <row r="129" spans="1:18" s="108" customFormat="1" ht="11.1" customHeight="1" x14ac:dyDescent="0.25">
      <c r="A129" s="107">
        <v>44049</v>
      </c>
      <c r="C129" s="313" t="s">
        <v>3226</v>
      </c>
      <c r="E129" s="669" t="s">
        <v>3227</v>
      </c>
      <c r="F129" s="669"/>
      <c r="G129" s="669"/>
      <c r="H129" s="669"/>
      <c r="J129" s="313" t="s">
        <v>953</v>
      </c>
      <c r="L129" s="707" t="s">
        <v>2204</v>
      </c>
      <c r="M129" s="707"/>
      <c r="N129" s="304">
        <v>563871.88</v>
      </c>
      <c r="R129" s="109">
        <v>14069359.609999999</v>
      </c>
    </row>
    <row r="130" spans="1:18" s="108" customFormat="1" ht="11.1" customHeight="1" x14ac:dyDescent="0.25">
      <c r="E130" s="669"/>
      <c r="F130" s="669"/>
      <c r="G130" s="669"/>
      <c r="H130" s="669"/>
    </row>
    <row r="131" spans="1:18" s="348" customFormat="1" ht="11.1" customHeight="1" x14ac:dyDescent="0.25">
      <c r="A131" s="349">
        <v>44049</v>
      </c>
      <c r="C131" s="350" t="s">
        <v>3228</v>
      </c>
      <c r="E131" s="704" t="s">
        <v>3229</v>
      </c>
      <c r="F131" s="704"/>
      <c r="G131" s="704"/>
      <c r="H131" s="704"/>
      <c r="J131" s="350" t="s">
        <v>2904</v>
      </c>
      <c r="L131" s="705" t="s">
        <v>2204</v>
      </c>
      <c r="M131" s="705"/>
      <c r="N131" s="351">
        <v>280472.92</v>
      </c>
      <c r="R131" s="352">
        <v>14349832.529999999</v>
      </c>
    </row>
    <row r="132" spans="1:18" s="348" customFormat="1" ht="11.1" customHeight="1" x14ac:dyDescent="0.25">
      <c r="E132" s="704"/>
      <c r="F132" s="704"/>
      <c r="G132" s="704"/>
      <c r="H132" s="704"/>
    </row>
    <row r="133" spans="1:18" ht="13.35" customHeight="1" x14ac:dyDescent="0.25">
      <c r="M133" s="303" t="s">
        <v>2205</v>
      </c>
      <c r="N133" s="310">
        <v>1952830.96</v>
      </c>
      <c r="O133" s="706">
        <v>0</v>
      </c>
      <c r="P133" s="706"/>
    </row>
    <row r="134" spans="1:18" s="108" customFormat="1" ht="11.1" customHeight="1" x14ac:dyDescent="0.25">
      <c r="A134" s="107">
        <v>44075</v>
      </c>
      <c r="C134" s="313" t="s">
        <v>3230</v>
      </c>
      <c r="E134" s="669" t="s">
        <v>3231</v>
      </c>
      <c r="F134" s="669"/>
      <c r="G134" s="669"/>
      <c r="H134" s="669"/>
      <c r="J134" s="313" t="s">
        <v>953</v>
      </c>
      <c r="L134" s="707" t="s">
        <v>2204</v>
      </c>
      <c r="M134" s="707"/>
      <c r="N134" s="304">
        <v>572584.72</v>
      </c>
      <c r="R134" s="109">
        <v>14922417.25</v>
      </c>
    </row>
    <row r="135" spans="1:18" s="108" customFormat="1" ht="11.1" customHeight="1" x14ac:dyDescent="0.25">
      <c r="E135" s="669"/>
      <c r="F135" s="669"/>
      <c r="G135" s="669"/>
      <c r="H135" s="669"/>
    </row>
    <row r="136" spans="1:18" s="94" customFormat="1" ht="11.1" customHeight="1" x14ac:dyDescent="0.25">
      <c r="A136" s="336">
        <v>44075</v>
      </c>
      <c r="C136" s="337" t="s">
        <v>3232</v>
      </c>
      <c r="E136" s="708" t="s">
        <v>3233</v>
      </c>
      <c r="F136" s="708"/>
      <c r="G136" s="708"/>
      <c r="H136" s="708"/>
      <c r="J136" s="337" t="s">
        <v>2464</v>
      </c>
      <c r="L136" s="703" t="s">
        <v>2204</v>
      </c>
      <c r="M136" s="703"/>
      <c r="N136" s="338">
        <v>126780.44</v>
      </c>
      <c r="R136" s="339">
        <v>15049197.689999999</v>
      </c>
    </row>
    <row r="137" spans="1:18" s="94" customFormat="1" ht="11.1" customHeight="1" x14ac:dyDescent="0.25">
      <c r="E137" s="708"/>
      <c r="F137" s="708"/>
      <c r="G137" s="708"/>
      <c r="H137" s="708"/>
    </row>
    <row r="138" spans="1:18" s="94" customFormat="1" ht="11.1" customHeight="1" x14ac:dyDescent="0.25">
      <c r="A138" s="336">
        <v>44075</v>
      </c>
      <c r="C138" s="337" t="s">
        <v>3234</v>
      </c>
      <c r="E138" s="708" t="s">
        <v>3235</v>
      </c>
      <c r="F138" s="708"/>
      <c r="G138" s="708"/>
      <c r="H138" s="708"/>
      <c r="J138" s="337" t="s">
        <v>2464</v>
      </c>
      <c r="L138" s="703" t="s">
        <v>2204</v>
      </c>
      <c r="M138" s="703"/>
      <c r="N138" s="338">
        <v>262215.36</v>
      </c>
      <c r="R138" s="339">
        <v>15311413.050000001</v>
      </c>
    </row>
    <row r="139" spans="1:18" s="94" customFormat="1" ht="11.1" customHeight="1" x14ac:dyDescent="0.25">
      <c r="E139" s="708"/>
      <c r="F139" s="708"/>
      <c r="G139" s="708"/>
      <c r="H139" s="708"/>
    </row>
    <row r="140" spans="1:18" s="94" customFormat="1" ht="11.1" customHeight="1" x14ac:dyDescent="0.25">
      <c r="A140" s="336">
        <v>44075</v>
      </c>
      <c r="C140" s="337" t="s">
        <v>3236</v>
      </c>
      <c r="E140" s="708" t="s">
        <v>3237</v>
      </c>
      <c r="F140" s="708"/>
      <c r="G140" s="708"/>
      <c r="H140" s="708"/>
      <c r="J140" s="337" t="s">
        <v>2464</v>
      </c>
      <c r="L140" s="703" t="s">
        <v>2204</v>
      </c>
      <c r="M140" s="703"/>
      <c r="N140" s="338">
        <v>143073.35999999999</v>
      </c>
      <c r="R140" s="339">
        <v>15454486.41</v>
      </c>
    </row>
    <row r="141" spans="1:18" s="94" customFormat="1" ht="11.1" customHeight="1" x14ac:dyDescent="0.25">
      <c r="E141" s="708"/>
      <c r="F141" s="708"/>
      <c r="G141" s="708"/>
      <c r="H141" s="708"/>
    </row>
    <row r="142" spans="1:18" s="354" customFormat="1" ht="11.1" customHeight="1" x14ac:dyDescent="0.25">
      <c r="A142" s="353">
        <v>44075</v>
      </c>
      <c r="C142" s="355" t="s">
        <v>3238</v>
      </c>
      <c r="E142" s="712" t="s">
        <v>3239</v>
      </c>
      <c r="F142" s="712"/>
      <c r="G142" s="712"/>
      <c r="H142" s="712"/>
      <c r="J142" s="355" t="s">
        <v>2906</v>
      </c>
      <c r="L142" s="713" t="s">
        <v>2204</v>
      </c>
      <c r="M142" s="713"/>
      <c r="N142" s="356">
        <v>478094.4</v>
      </c>
      <c r="R142" s="357">
        <v>15932580.810000001</v>
      </c>
    </row>
    <row r="143" spans="1:18" s="354" customFormat="1" ht="11.1" customHeight="1" x14ac:dyDescent="0.25">
      <c r="E143" s="712"/>
      <c r="F143" s="712"/>
      <c r="G143" s="712"/>
      <c r="H143" s="712"/>
    </row>
    <row r="144" spans="1:18" s="93" customFormat="1" ht="11.1" customHeight="1" x14ac:dyDescent="0.25">
      <c r="A144" s="105">
        <v>44075</v>
      </c>
      <c r="C144" s="312" t="s">
        <v>3240</v>
      </c>
      <c r="E144" s="663" t="s">
        <v>3241</v>
      </c>
      <c r="F144" s="663"/>
      <c r="G144" s="663"/>
      <c r="H144" s="663"/>
      <c r="J144" s="312" t="s">
        <v>2902</v>
      </c>
      <c r="L144" s="711" t="s">
        <v>2204</v>
      </c>
      <c r="M144" s="711"/>
      <c r="N144" s="305">
        <v>77590.66</v>
      </c>
      <c r="R144" s="106">
        <v>16010171.470000001</v>
      </c>
    </row>
    <row r="145" spans="1:18" s="93" customFormat="1" ht="11.1" customHeight="1" x14ac:dyDescent="0.25">
      <c r="E145" s="663"/>
      <c r="F145" s="663"/>
      <c r="G145" s="663"/>
      <c r="H145" s="663"/>
    </row>
    <row r="146" spans="1:18" s="360" customFormat="1" ht="11.1" customHeight="1" x14ac:dyDescent="0.25">
      <c r="A146" s="359">
        <v>44076</v>
      </c>
      <c r="C146" s="361" t="s">
        <v>3242</v>
      </c>
      <c r="E146" s="709" t="s">
        <v>3243</v>
      </c>
      <c r="F146" s="709"/>
      <c r="G146" s="709"/>
      <c r="H146" s="709"/>
      <c r="J146" s="361" t="s">
        <v>2901</v>
      </c>
      <c r="L146" s="710" t="s">
        <v>2204</v>
      </c>
      <c r="M146" s="710"/>
      <c r="N146" s="362">
        <v>81787.31</v>
      </c>
      <c r="R146" s="363">
        <v>16091958.779999999</v>
      </c>
    </row>
    <row r="147" spans="1:18" s="360" customFormat="1" ht="11.1" customHeight="1" x14ac:dyDescent="0.25">
      <c r="E147" s="709"/>
      <c r="F147" s="709"/>
      <c r="G147" s="709"/>
      <c r="H147" s="709"/>
    </row>
    <row r="148" spans="1:18" s="348" customFormat="1" ht="11.1" customHeight="1" x14ac:dyDescent="0.25">
      <c r="A148" s="349">
        <v>44076</v>
      </c>
      <c r="C148" s="350" t="s">
        <v>3244</v>
      </c>
      <c r="E148" s="704" t="s">
        <v>3245</v>
      </c>
      <c r="F148" s="704"/>
      <c r="G148" s="704"/>
      <c r="H148" s="704"/>
      <c r="J148" s="350" t="s">
        <v>2904</v>
      </c>
      <c r="L148" s="705" t="s">
        <v>2204</v>
      </c>
      <c r="M148" s="705"/>
      <c r="N148" s="351">
        <v>284806.65000000002</v>
      </c>
      <c r="R148" s="352">
        <v>16376765.43</v>
      </c>
    </row>
    <row r="149" spans="1:18" s="348" customFormat="1" ht="11.1" customHeight="1" x14ac:dyDescent="0.25">
      <c r="E149" s="704"/>
      <c r="F149" s="704"/>
      <c r="G149" s="704"/>
      <c r="H149" s="704"/>
    </row>
    <row r="150" spans="1:18" ht="13.35" customHeight="1" x14ac:dyDescent="0.25">
      <c r="M150" s="303" t="s">
        <v>2205</v>
      </c>
      <c r="N150" s="310">
        <v>2026932.9</v>
      </c>
      <c r="O150" s="706">
        <v>0</v>
      </c>
      <c r="P150" s="706"/>
    </row>
    <row r="151" spans="1:18" s="354" customFormat="1" ht="11.1" customHeight="1" x14ac:dyDescent="0.25">
      <c r="A151" s="353">
        <v>44105</v>
      </c>
      <c r="C151" s="355" t="s">
        <v>3246</v>
      </c>
      <c r="E151" s="712" t="s">
        <v>3247</v>
      </c>
      <c r="F151" s="712"/>
      <c r="G151" s="712"/>
      <c r="H151" s="712"/>
      <c r="J151" s="355" t="s">
        <v>2906</v>
      </c>
      <c r="L151" s="713" t="s">
        <v>2204</v>
      </c>
      <c r="M151" s="713"/>
      <c r="N151" s="356">
        <v>462672</v>
      </c>
      <c r="R151" s="357">
        <v>16839437.43</v>
      </c>
    </row>
    <row r="152" spans="1:18" s="354" customFormat="1" ht="11.1" customHeight="1" x14ac:dyDescent="0.25">
      <c r="E152" s="712"/>
      <c r="F152" s="712"/>
      <c r="G152" s="712"/>
      <c r="H152" s="712"/>
    </row>
    <row r="153" spans="1:18" s="94" customFormat="1" ht="11.1" customHeight="1" x14ac:dyDescent="0.25">
      <c r="A153" s="336">
        <v>44106</v>
      </c>
      <c r="C153" s="337" t="s">
        <v>3248</v>
      </c>
      <c r="E153" s="708" t="s">
        <v>3249</v>
      </c>
      <c r="F153" s="708"/>
      <c r="G153" s="708"/>
      <c r="H153" s="708"/>
      <c r="J153" s="337" t="s">
        <v>2464</v>
      </c>
      <c r="L153" s="703" t="s">
        <v>2204</v>
      </c>
      <c r="M153" s="703"/>
      <c r="N153" s="338">
        <v>253756.79999999999</v>
      </c>
      <c r="R153" s="339">
        <v>17093194.23</v>
      </c>
    </row>
    <row r="154" spans="1:18" s="94" customFormat="1" ht="11.1" customHeight="1" x14ac:dyDescent="0.25">
      <c r="E154" s="708"/>
      <c r="F154" s="708"/>
      <c r="G154" s="708"/>
      <c r="H154" s="708"/>
    </row>
    <row r="155" spans="1:18" s="94" customFormat="1" ht="11.1" customHeight="1" x14ac:dyDescent="0.25">
      <c r="A155" s="336">
        <v>44106</v>
      </c>
      <c r="C155" s="337" t="s">
        <v>3250</v>
      </c>
      <c r="E155" s="708" t="s">
        <v>3251</v>
      </c>
      <c r="F155" s="708"/>
      <c r="G155" s="708"/>
      <c r="H155" s="708"/>
      <c r="J155" s="337" t="s">
        <v>2464</v>
      </c>
      <c r="L155" s="703" t="s">
        <v>2204</v>
      </c>
      <c r="M155" s="703"/>
      <c r="N155" s="338">
        <v>139407.01</v>
      </c>
      <c r="R155" s="339">
        <v>17232601.239999998</v>
      </c>
    </row>
    <row r="156" spans="1:18" s="94" customFormat="1" ht="11.1" customHeight="1" x14ac:dyDescent="0.25">
      <c r="E156" s="708"/>
      <c r="F156" s="708"/>
      <c r="G156" s="708"/>
      <c r="H156" s="708"/>
    </row>
    <row r="157" spans="1:18" s="94" customFormat="1" ht="11.1" customHeight="1" x14ac:dyDescent="0.25">
      <c r="A157" s="336">
        <v>44106</v>
      </c>
      <c r="C157" s="337" t="s">
        <v>3252</v>
      </c>
      <c r="E157" s="708" t="s">
        <v>3253</v>
      </c>
      <c r="F157" s="708"/>
      <c r="G157" s="708"/>
      <c r="H157" s="708"/>
      <c r="J157" s="337" t="s">
        <v>2464</v>
      </c>
      <c r="L157" s="703" t="s">
        <v>2204</v>
      </c>
      <c r="M157" s="703"/>
      <c r="N157" s="338">
        <v>128736.17</v>
      </c>
      <c r="R157" s="339">
        <v>17361337.41</v>
      </c>
    </row>
    <row r="158" spans="1:18" s="94" customFormat="1" ht="11.1" customHeight="1" x14ac:dyDescent="0.25">
      <c r="E158" s="708"/>
      <c r="F158" s="708"/>
      <c r="G158" s="708"/>
      <c r="H158" s="708"/>
    </row>
    <row r="159" spans="1:18" s="108" customFormat="1" ht="11.1" customHeight="1" x14ac:dyDescent="0.25">
      <c r="A159" s="107">
        <v>44106</v>
      </c>
      <c r="C159" s="313" t="s">
        <v>3254</v>
      </c>
      <c r="E159" s="669" t="s">
        <v>3255</v>
      </c>
      <c r="F159" s="669"/>
      <c r="G159" s="669"/>
      <c r="H159" s="669"/>
      <c r="J159" s="313" t="s">
        <v>953</v>
      </c>
      <c r="L159" s="707" t="s">
        <v>2204</v>
      </c>
      <c r="M159" s="707"/>
      <c r="N159" s="304">
        <v>557912.11</v>
      </c>
      <c r="R159" s="109">
        <v>17919249.52</v>
      </c>
    </row>
    <row r="160" spans="1:18" s="108" customFormat="1" ht="11.1" customHeight="1" x14ac:dyDescent="0.25">
      <c r="E160" s="669"/>
      <c r="F160" s="669"/>
      <c r="G160" s="669"/>
      <c r="H160" s="669"/>
    </row>
    <row r="161" spans="1:18" s="348" customFormat="1" ht="11.1" customHeight="1" x14ac:dyDescent="0.25">
      <c r="A161" s="349">
        <v>44109</v>
      </c>
      <c r="C161" s="350" t="s">
        <v>3256</v>
      </c>
      <c r="E161" s="704" t="s">
        <v>3257</v>
      </c>
      <c r="F161" s="704"/>
      <c r="G161" s="704"/>
      <c r="H161" s="704"/>
      <c r="J161" s="350" t="s">
        <v>2904</v>
      </c>
      <c r="L161" s="705" t="s">
        <v>2204</v>
      </c>
      <c r="M161" s="705"/>
      <c r="N161" s="351">
        <v>277508.49</v>
      </c>
      <c r="R161" s="352">
        <v>18196758.010000002</v>
      </c>
    </row>
    <row r="162" spans="1:18" s="348" customFormat="1" ht="11.1" customHeight="1" x14ac:dyDescent="0.25">
      <c r="E162" s="704"/>
      <c r="F162" s="704"/>
      <c r="G162" s="704"/>
      <c r="H162" s="704"/>
    </row>
    <row r="163" spans="1:18" s="360" customFormat="1" ht="11.1" customHeight="1" x14ac:dyDescent="0.25">
      <c r="A163" s="359">
        <v>44109</v>
      </c>
      <c r="C163" s="361" t="s">
        <v>3258</v>
      </c>
      <c r="E163" s="709" t="s">
        <v>3259</v>
      </c>
      <c r="F163" s="709"/>
      <c r="G163" s="709"/>
      <c r="H163" s="709"/>
      <c r="J163" s="361" t="s">
        <v>2901</v>
      </c>
      <c r="L163" s="710" t="s">
        <v>2204</v>
      </c>
      <c r="M163" s="710"/>
      <c r="N163" s="362">
        <v>81282.490000000005</v>
      </c>
      <c r="R163" s="363">
        <v>18278040.5</v>
      </c>
    </row>
    <row r="164" spans="1:18" s="360" customFormat="1" ht="11.1" customHeight="1" x14ac:dyDescent="0.25">
      <c r="E164" s="709"/>
      <c r="F164" s="709"/>
      <c r="G164" s="709"/>
      <c r="H164" s="709"/>
    </row>
    <row r="165" spans="1:18" s="93" customFormat="1" ht="11.1" customHeight="1" x14ac:dyDescent="0.25">
      <c r="A165" s="105">
        <v>44111</v>
      </c>
      <c r="C165" s="312" t="s">
        <v>3260</v>
      </c>
      <c r="E165" s="663" t="s">
        <v>3261</v>
      </c>
      <c r="F165" s="663"/>
      <c r="G165" s="663"/>
      <c r="H165" s="663"/>
      <c r="J165" s="312" t="s">
        <v>2902</v>
      </c>
      <c r="L165" s="711" t="s">
        <v>2204</v>
      </c>
      <c r="M165" s="711"/>
      <c r="N165" s="305">
        <v>77111.78</v>
      </c>
      <c r="R165" s="106">
        <v>18355152.280000001</v>
      </c>
    </row>
    <row r="166" spans="1:18" s="93" customFormat="1" ht="11.1" customHeight="1" x14ac:dyDescent="0.25">
      <c r="E166" s="663"/>
      <c r="F166" s="663"/>
      <c r="G166" s="663"/>
      <c r="H166" s="663"/>
    </row>
    <row r="167" spans="1:18" ht="13.35" customHeight="1" x14ac:dyDescent="0.25">
      <c r="M167" s="303" t="s">
        <v>2205</v>
      </c>
      <c r="N167" s="310">
        <v>1978386.85</v>
      </c>
      <c r="O167" s="706">
        <v>0</v>
      </c>
      <c r="P167" s="706"/>
    </row>
    <row r="168" spans="1:18" s="354" customFormat="1" ht="11.1" customHeight="1" x14ac:dyDescent="0.25">
      <c r="A168" s="353">
        <v>44144</v>
      </c>
      <c r="C168" s="355" t="s">
        <v>3262</v>
      </c>
      <c r="E168" s="712" t="s">
        <v>3263</v>
      </c>
      <c r="F168" s="712"/>
      <c r="G168" s="712"/>
      <c r="H168" s="712"/>
      <c r="J168" s="355" t="s">
        <v>2906</v>
      </c>
      <c r="L168" s="713" t="s">
        <v>2204</v>
      </c>
      <c r="M168" s="713"/>
      <c r="N168" s="356">
        <v>478094.4</v>
      </c>
      <c r="R168" s="357">
        <v>18833246.68</v>
      </c>
    </row>
    <row r="169" spans="1:18" s="354" customFormat="1" ht="11.1" customHeight="1" x14ac:dyDescent="0.25">
      <c r="E169" s="712"/>
      <c r="F169" s="712"/>
      <c r="G169" s="712"/>
      <c r="H169" s="712"/>
    </row>
    <row r="170" spans="1:18" s="348" customFormat="1" ht="11.1" customHeight="1" x14ac:dyDescent="0.25">
      <c r="A170" s="349">
        <v>44144</v>
      </c>
      <c r="C170" s="350" t="s">
        <v>3264</v>
      </c>
      <c r="E170" s="704" t="s">
        <v>3265</v>
      </c>
      <c r="F170" s="704"/>
      <c r="G170" s="704"/>
      <c r="H170" s="704"/>
      <c r="J170" s="350" t="s">
        <v>2904</v>
      </c>
      <c r="L170" s="705" t="s">
        <v>2204</v>
      </c>
      <c r="M170" s="705"/>
      <c r="N170" s="351">
        <v>349164.37</v>
      </c>
      <c r="R170" s="352">
        <v>19182411.050000001</v>
      </c>
    </row>
    <row r="171" spans="1:18" s="348" customFormat="1" ht="11.1" customHeight="1" x14ac:dyDescent="0.25">
      <c r="E171" s="704"/>
      <c r="F171" s="704"/>
      <c r="G171" s="704"/>
      <c r="H171" s="704"/>
    </row>
    <row r="172" spans="1:18" s="108" customFormat="1" ht="11.1" customHeight="1" x14ac:dyDescent="0.25">
      <c r="A172" s="107">
        <v>44144</v>
      </c>
      <c r="C172" s="313" t="s">
        <v>3266</v>
      </c>
      <c r="E172" s="669" t="s">
        <v>3267</v>
      </c>
      <c r="F172" s="669"/>
      <c r="G172" s="669"/>
      <c r="H172" s="669"/>
      <c r="J172" s="313" t="s">
        <v>953</v>
      </c>
      <c r="L172" s="707" t="s">
        <v>2204</v>
      </c>
      <c r="M172" s="707"/>
      <c r="N172" s="304">
        <v>701971.56</v>
      </c>
      <c r="R172" s="109">
        <v>19884382.609999999</v>
      </c>
    </row>
    <row r="173" spans="1:18" s="108" customFormat="1" ht="11.1" customHeight="1" x14ac:dyDescent="0.25">
      <c r="E173" s="669"/>
      <c r="F173" s="669"/>
      <c r="G173" s="669"/>
      <c r="H173" s="669"/>
    </row>
    <row r="174" spans="1:18" s="360" customFormat="1" ht="11.1" customHeight="1" x14ac:dyDescent="0.25">
      <c r="A174" s="359">
        <v>44144</v>
      </c>
      <c r="C174" s="361" t="s">
        <v>3268</v>
      </c>
      <c r="E174" s="709" t="s">
        <v>3269</v>
      </c>
      <c r="F174" s="709"/>
      <c r="G174" s="709"/>
      <c r="H174" s="709"/>
      <c r="J174" s="361" t="s">
        <v>2901</v>
      </c>
      <c r="L174" s="710" t="s">
        <v>2204</v>
      </c>
      <c r="M174" s="710"/>
      <c r="N174" s="362">
        <v>73136.73</v>
      </c>
      <c r="R174" s="363">
        <v>19957519.34</v>
      </c>
    </row>
    <row r="175" spans="1:18" s="360" customFormat="1" ht="11.1" customHeight="1" x14ac:dyDescent="0.25">
      <c r="E175" s="709"/>
      <c r="F175" s="709"/>
      <c r="G175" s="709"/>
      <c r="H175" s="709"/>
    </row>
    <row r="176" spans="1:18" s="94" customFormat="1" ht="11.1" customHeight="1" x14ac:dyDescent="0.25">
      <c r="A176" s="336">
        <v>44144</v>
      </c>
      <c r="C176" s="337" t="s">
        <v>3270</v>
      </c>
      <c r="E176" s="708" t="s">
        <v>3271</v>
      </c>
      <c r="F176" s="708"/>
      <c r="G176" s="708"/>
      <c r="H176" s="708"/>
      <c r="J176" s="337" t="s">
        <v>2464</v>
      </c>
      <c r="L176" s="703" t="s">
        <v>2204</v>
      </c>
      <c r="M176" s="703"/>
      <c r="N176" s="338">
        <v>320485.44</v>
      </c>
      <c r="R176" s="339">
        <v>20278004.780000001</v>
      </c>
    </row>
    <row r="177" spans="1:18" s="94" customFormat="1" ht="11.1" customHeight="1" x14ac:dyDescent="0.25">
      <c r="E177" s="708"/>
      <c r="F177" s="708"/>
      <c r="G177" s="708"/>
      <c r="H177" s="708"/>
    </row>
    <row r="178" spans="1:18" s="94" customFormat="1" ht="11.1" customHeight="1" x14ac:dyDescent="0.25">
      <c r="A178" s="336">
        <v>44144</v>
      </c>
      <c r="C178" s="337" t="s">
        <v>3272</v>
      </c>
      <c r="E178" s="708" t="s">
        <v>3273</v>
      </c>
      <c r="F178" s="708"/>
      <c r="G178" s="708"/>
      <c r="H178" s="708"/>
      <c r="J178" s="337" t="s">
        <v>2464</v>
      </c>
      <c r="L178" s="703" t="s">
        <v>2204</v>
      </c>
      <c r="M178" s="703"/>
      <c r="N178" s="338">
        <v>175403.72</v>
      </c>
      <c r="R178" s="339">
        <v>20453408.5</v>
      </c>
    </row>
    <row r="179" spans="1:18" s="94" customFormat="1" ht="11.1" customHeight="1" x14ac:dyDescent="0.25">
      <c r="E179" s="708"/>
      <c r="F179" s="708"/>
      <c r="G179" s="708"/>
      <c r="H179" s="708"/>
    </row>
    <row r="180" spans="1:18" s="94" customFormat="1" ht="11.1" customHeight="1" x14ac:dyDescent="0.25">
      <c r="A180" s="336">
        <v>44144</v>
      </c>
      <c r="C180" s="337" t="s">
        <v>3274</v>
      </c>
      <c r="E180" s="708" t="s">
        <v>3275</v>
      </c>
      <c r="F180" s="708"/>
      <c r="G180" s="708"/>
      <c r="H180" s="708"/>
      <c r="J180" s="337" t="s">
        <v>2464</v>
      </c>
      <c r="L180" s="703" t="s">
        <v>2204</v>
      </c>
      <c r="M180" s="703"/>
      <c r="N180" s="338">
        <v>122181.95</v>
      </c>
      <c r="R180" s="339">
        <v>20575590.449999999</v>
      </c>
    </row>
    <row r="181" spans="1:18" s="94" customFormat="1" ht="11.1" customHeight="1" x14ac:dyDescent="0.25">
      <c r="E181" s="708"/>
      <c r="F181" s="708"/>
      <c r="G181" s="708"/>
      <c r="H181" s="708"/>
    </row>
    <row r="182" spans="1:18" s="93" customFormat="1" ht="11.1" customHeight="1" x14ac:dyDescent="0.25">
      <c r="A182" s="105">
        <v>44144</v>
      </c>
      <c r="C182" s="312" t="s">
        <v>3276</v>
      </c>
      <c r="E182" s="663" t="s">
        <v>3277</v>
      </c>
      <c r="F182" s="663"/>
      <c r="G182" s="663"/>
      <c r="H182" s="663"/>
      <c r="J182" s="312" t="s">
        <v>2902</v>
      </c>
      <c r="L182" s="711" t="s">
        <v>2204</v>
      </c>
      <c r="M182" s="711"/>
      <c r="N182" s="305">
        <v>69383.95</v>
      </c>
      <c r="R182" s="106">
        <v>20644974.399999999</v>
      </c>
    </row>
    <row r="183" spans="1:18" s="93" customFormat="1" ht="11.1" customHeight="1" x14ac:dyDescent="0.25">
      <c r="E183" s="663"/>
      <c r="F183" s="663"/>
      <c r="G183" s="663"/>
      <c r="H183" s="663"/>
    </row>
    <row r="184" spans="1:18" ht="13.35" customHeight="1" x14ac:dyDescent="0.25">
      <c r="M184" s="303" t="s">
        <v>2205</v>
      </c>
      <c r="N184" s="310">
        <v>2289822.12</v>
      </c>
      <c r="O184" s="706">
        <v>0</v>
      </c>
      <c r="P184" s="706"/>
    </row>
    <row r="185" spans="1:18" s="108" customFormat="1" ht="11.1" customHeight="1" x14ac:dyDescent="0.25">
      <c r="A185" s="107">
        <v>44172</v>
      </c>
      <c r="C185" s="313" t="s">
        <v>3278</v>
      </c>
      <c r="E185" s="669" t="s">
        <v>3279</v>
      </c>
      <c r="F185" s="669"/>
      <c r="G185" s="669"/>
      <c r="H185" s="669"/>
      <c r="J185" s="313" t="s">
        <v>953</v>
      </c>
      <c r="L185" s="707" t="s">
        <v>2204</v>
      </c>
      <c r="M185" s="707"/>
      <c r="N185" s="304">
        <v>658197.01</v>
      </c>
      <c r="R185" s="109">
        <v>21303171.41</v>
      </c>
    </row>
    <row r="186" spans="1:18" s="108" customFormat="1" ht="11.1" customHeight="1" x14ac:dyDescent="0.25">
      <c r="E186" s="669"/>
      <c r="F186" s="669"/>
      <c r="G186" s="669"/>
      <c r="H186" s="669"/>
    </row>
    <row r="187" spans="1:18" s="348" customFormat="1" ht="11.1" customHeight="1" x14ac:dyDescent="0.25">
      <c r="A187" s="349">
        <v>44172</v>
      </c>
      <c r="C187" s="350" t="s">
        <v>3280</v>
      </c>
      <c r="E187" s="704" t="s">
        <v>3281</v>
      </c>
      <c r="F187" s="704"/>
      <c r="G187" s="704"/>
      <c r="H187" s="704"/>
      <c r="J187" s="350" t="s">
        <v>2904</v>
      </c>
      <c r="L187" s="705" t="s">
        <v>2204</v>
      </c>
      <c r="M187" s="705"/>
      <c r="N187" s="351">
        <v>327390.74</v>
      </c>
      <c r="R187" s="352">
        <v>21630562.149999999</v>
      </c>
    </row>
    <row r="188" spans="1:18" s="348" customFormat="1" ht="11.1" customHeight="1" x14ac:dyDescent="0.25">
      <c r="E188" s="704"/>
      <c r="F188" s="704"/>
      <c r="G188" s="704"/>
      <c r="H188" s="704"/>
    </row>
    <row r="189" spans="1:18" s="94" customFormat="1" ht="11.1" customHeight="1" x14ac:dyDescent="0.25">
      <c r="A189" s="336">
        <v>44172</v>
      </c>
      <c r="C189" s="337" t="s">
        <v>3282</v>
      </c>
      <c r="E189" s="708" t="s">
        <v>3283</v>
      </c>
      <c r="F189" s="708"/>
      <c r="G189" s="708"/>
      <c r="H189" s="708"/>
      <c r="J189" s="337" t="s">
        <v>2464</v>
      </c>
      <c r="L189" s="703" t="s">
        <v>2204</v>
      </c>
      <c r="M189" s="703"/>
      <c r="N189" s="338">
        <v>115989.19</v>
      </c>
      <c r="R189" s="339">
        <v>21746551.34</v>
      </c>
    </row>
    <row r="190" spans="1:18" s="94" customFormat="1" ht="11.1" customHeight="1" x14ac:dyDescent="0.25">
      <c r="E190" s="708"/>
      <c r="F190" s="708"/>
      <c r="G190" s="708"/>
      <c r="H190" s="708"/>
    </row>
    <row r="191" spans="1:18" s="94" customFormat="1" ht="11.1" customHeight="1" x14ac:dyDescent="0.25">
      <c r="A191" s="336">
        <v>44172</v>
      </c>
      <c r="C191" s="337" t="s">
        <v>3284</v>
      </c>
      <c r="E191" s="708" t="s">
        <v>3285</v>
      </c>
      <c r="F191" s="708"/>
      <c r="G191" s="708"/>
      <c r="H191" s="708"/>
      <c r="J191" s="337" t="s">
        <v>2464</v>
      </c>
      <c r="L191" s="703" t="s">
        <v>2204</v>
      </c>
      <c r="M191" s="703"/>
      <c r="N191" s="338">
        <v>310147.20000000001</v>
      </c>
      <c r="R191" s="339">
        <v>22056698.539999999</v>
      </c>
    </row>
    <row r="192" spans="1:18" s="94" customFormat="1" ht="11.1" customHeight="1" x14ac:dyDescent="0.25">
      <c r="E192" s="708"/>
      <c r="F192" s="708"/>
      <c r="G192" s="708"/>
      <c r="H192" s="708"/>
    </row>
    <row r="193" spans="1:18" s="94" customFormat="1" ht="11.1" customHeight="1" x14ac:dyDescent="0.25">
      <c r="A193" s="336">
        <v>44172</v>
      </c>
      <c r="C193" s="337" t="s">
        <v>3286</v>
      </c>
      <c r="E193" s="708" t="s">
        <v>3287</v>
      </c>
      <c r="F193" s="708"/>
      <c r="G193" s="708"/>
      <c r="H193" s="708"/>
      <c r="J193" s="337" t="s">
        <v>2464</v>
      </c>
      <c r="L193" s="703" t="s">
        <v>2204</v>
      </c>
      <c r="M193" s="703"/>
      <c r="N193" s="338">
        <v>164465.57999999999</v>
      </c>
      <c r="R193" s="339">
        <v>22221164.120000001</v>
      </c>
    </row>
    <row r="194" spans="1:18" s="94" customFormat="1" ht="11.1" customHeight="1" x14ac:dyDescent="0.25">
      <c r="E194" s="708"/>
      <c r="F194" s="708"/>
      <c r="G194" s="708"/>
      <c r="H194" s="708"/>
    </row>
    <row r="195" spans="1:18" s="93" customFormat="1" ht="11.1" customHeight="1" x14ac:dyDescent="0.25">
      <c r="A195" s="105">
        <v>44172</v>
      </c>
      <c r="C195" s="312" t="s">
        <v>3288</v>
      </c>
      <c r="E195" s="663" t="s">
        <v>3289</v>
      </c>
      <c r="F195" s="663"/>
      <c r="G195" s="663"/>
      <c r="H195" s="663"/>
      <c r="J195" s="312" t="s">
        <v>2902</v>
      </c>
      <c r="L195" s="711" t="s">
        <v>2204</v>
      </c>
      <c r="M195" s="711"/>
      <c r="N195" s="305">
        <v>64524.36</v>
      </c>
      <c r="R195" s="106">
        <v>22285688.48</v>
      </c>
    </row>
    <row r="196" spans="1:18" s="93" customFormat="1" ht="11.1" customHeight="1" x14ac:dyDescent="0.25">
      <c r="E196" s="663"/>
      <c r="F196" s="663"/>
      <c r="G196" s="663"/>
      <c r="H196" s="663"/>
    </row>
    <row r="197" spans="1:18" s="360" customFormat="1" ht="11.1" customHeight="1" x14ac:dyDescent="0.25">
      <c r="A197" s="359">
        <v>44172</v>
      </c>
      <c r="C197" s="361" t="s">
        <v>3290</v>
      </c>
      <c r="E197" s="709" t="s">
        <v>3291</v>
      </c>
      <c r="F197" s="709"/>
      <c r="G197" s="709"/>
      <c r="H197" s="709"/>
      <c r="J197" s="361" t="s">
        <v>2901</v>
      </c>
      <c r="L197" s="710" t="s">
        <v>2204</v>
      </c>
      <c r="M197" s="710"/>
      <c r="N197" s="362">
        <v>68014.289999999994</v>
      </c>
      <c r="R197" s="363">
        <v>22353702.77</v>
      </c>
    </row>
    <row r="198" spans="1:18" s="360" customFormat="1" ht="11.1" customHeight="1" x14ac:dyDescent="0.25">
      <c r="E198" s="709"/>
      <c r="F198" s="709"/>
      <c r="G198" s="709"/>
      <c r="H198" s="709"/>
    </row>
    <row r="199" spans="1:18" s="354" customFormat="1" ht="11.1" customHeight="1" x14ac:dyDescent="0.25">
      <c r="A199" s="353">
        <v>44172</v>
      </c>
      <c r="C199" s="355" t="s">
        <v>3292</v>
      </c>
      <c r="E199" s="712" t="s">
        <v>3293</v>
      </c>
      <c r="F199" s="712"/>
      <c r="G199" s="712"/>
      <c r="H199" s="712"/>
      <c r="J199" s="355" t="s">
        <v>2906</v>
      </c>
      <c r="L199" s="713" t="s">
        <v>2204</v>
      </c>
      <c r="M199" s="713"/>
      <c r="N199" s="356">
        <v>462672</v>
      </c>
      <c r="R199" s="358">
        <v>22816374.77</v>
      </c>
    </row>
    <row r="200" spans="1:18" s="354" customFormat="1" ht="11.1" customHeight="1" x14ac:dyDescent="0.25">
      <c r="E200" s="712"/>
      <c r="F200" s="712"/>
      <c r="G200" s="712"/>
      <c r="H200" s="712"/>
    </row>
    <row r="201" spans="1:18" ht="13.35" customHeight="1" x14ac:dyDescent="0.25">
      <c r="M201" s="303" t="s">
        <v>2205</v>
      </c>
      <c r="N201" s="310">
        <v>2171400.37</v>
      </c>
      <c r="O201" s="706">
        <v>0</v>
      </c>
      <c r="P201" s="706"/>
    </row>
    <row r="202" spans="1:18" ht="13.35" customHeight="1" x14ac:dyDescent="0.25">
      <c r="L202" s="680" t="s">
        <v>2206</v>
      </c>
      <c r="M202" s="680"/>
      <c r="N202" s="310">
        <v>22816374.77</v>
      </c>
      <c r="O202" s="706">
        <v>0</v>
      </c>
      <c r="P202" s="706"/>
    </row>
  </sheetData>
  <mergeCells count="206">
    <mergeCell ref="E199:H200"/>
    <mergeCell ref="L199:M199"/>
    <mergeCell ref="O201:P201"/>
    <mergeCell ref="L202:M202"/>
    <mergeCell ref="O202:P202"/>
    <mergeCell ref="E189:H190"/>
    <mergeCell ref="L189:M189"/>
    <mergeCell ref="E191:H192"/>
    <mergeCell ref="L191:M191"/>
    <mergeCell ref="E193:H194"/>
    <mergeCell ref="L193:M193"/>
    <mergeCell ref="E195:H196"/>
    <mergeCell ref="L195:M195"/>
    <mergeCell ref="E197:H198"/>
    <mergeCell ref="L197:M197"/>
    <mergeCell ref="E180:H181"/>
    <mergeCell ref="L180:M180"/>
    <mergeCell ref="E182:H183"/>
    <mergeCell ref="L182:M182"/>
    <mergeCell ref="O184:P184"/>
    <mergeCell ref="E185:H186"/>
    <mergeCell ref="L185:M185"/>
    <mergeCell ref="E187:H188"/>
    <mergeCell ref="L187:M187"/>
    <mergeCell ref="E170:H171"/>
    <mergeCell ref="L170:M170"/>
    <mergeCell ref="E172:H173"/>
    <mergeCell ref="L172:M172"/>
    <mergeCell ref="E174:H175"/>
    <mergeCell ref="L174:M174"/>
    <mergeCell ref="E176:H177"/>
    <mergeCell ref="L176:M176"/>
    <mergeCell ref="E178:H179"/>
    <mergeCell ref="L178:M178"/>
    <mergeCell ref="E161:H162"/>
    <mergeCell ref="L161:M161"/>
    <mergeCell ref="E163:H164"/>
    <mergeCell ref="L163:M163"/>
    <mergeCell ref="E165:H166"/>
    <mergeCell ref="L165:M165"/>
    <mergeCell ref="O167:P167"/>
    <mergeCell ref="E168:H169"/>
    <mergeCell ref="L168:M168"/>
    <mergeCell ref="E151:H152"/>
    <mergeCell ref="L151:M151"/>
    <mergeCell ref="E153:H154"/>
    <mergeCell ref="L153:M153"/>
    <mergeCell ref="E155:H156"/>
    <mergeCell ref="L155:M155"/>
    <mergeCell ref="E157:H158"/>
    <mergeCell ref="L157:M157"/>
    <mergeCell ref="E159:H160"/>
    <mergeCell ref="L159:M159"/>
    <mergeCell ref="E142:H143"/>
    <mergeCell ref="L142:M142"/>
    <mergeCell ref="E144:H145"/>
    <mergeCell ref="L144:M144"/>
    <mergeCell ref="E146:H147"/>
    <mergeCell ref="L146:M146"/>
    <mergeCell ref="E148:H149"/>
    <mergeCell ref="L148:M148"/>
    <mergeCell ref="O150:P150"/>
    <mergeCell ref="O33:P33"/>
    <mergeCell ref="E36:H37"/>
    <mergeCell ref="L36:M36"/>
    <mergeCell ref="E38:H39"/>
    <mergeCell ref="L38:M38"/>
    <mergeCell ref="E114:H115"/>
    <mergeCell ref="L114:M114"/>
    <mergeCell ref="O116:P116"/>
    <mergeCell ref="E117:H118"/>
    <mergeCell ref="L117:M117"/>
    <mergeCell ref="E40:H41"/>
    <mergeCell ref="L40:M40"/>
    <mergeCell ref="E42:H43"/>
    <mergeCell ref="L42:M42"/>
    <mergeCell ref="E44:H45"/>
    <mergeCell ref="L44:M44"/>
    <mergeCell ref="E46:H47"/>
    <mergeCell ref="L46:M46"/>
    <mergeCell ref="O48:P48"/>
    <mergeCell ref="E49:H50"/>
    <mergeCell ref="L49:M49"/>
    <mergeCell ref="E51:H52"/>
    <mergeCell ref="L51:M51"/>
    <mergeCell ref="E53:H54"/>
    <mergeCell ref="A1:R1"/>
    <mergeCell ref="A2:E2"/>
    <mergeCell ref="G2:N2"/>
    <mergeCell ref="O2:P2"/>
    <mergeCell ref="G3:O3"/>
    <mergeCell ref="D5:G5"/>
    <mergeCell ref="L5:M5"/>
    <mergeCell ref="O5:P5"/>
    <mergeCell ref="O16:P16"/>
    <mergeCell ref="E12:H13"/>
    <mergeCell ref="L12:M12"/>
    <mergeCell ref="E14:H15"/>
    <mergeCell ref="L14:M14"/>
    <mergeCell ref="E17:H18"/>
    <mergeCell ref="L17:M17"/>
    <mergeCell ref="A6:N6"/>
    <mergeCell ref="E7:H7"/>
    <mergeCell ref="E8:H9"/>
    <mergeCell ref="L8:M8"/>
    <mergeCell ref="E10:H11"/>
    <mergeCell ref="L10:M10"/>
    <mergeCell ref="E19:H20"/>
    <mergeCell ref="L19:M19"/>
    <mergeCell ref="E25:H26"/>
    <mergeCell ref="L25:M25"/>
    <mergeCell ref="E21:H22"/>
    <mergeCell ref="L21:M21"/>
    <mergeCell ref="E23:H24"/>
    <mergeCell ref="L23:M23"/>
    <mergeCell ref="E27:H28"/>
    <mergeCell ref="L27:M27"/>
    <mergeCell ref="E34:H35"/>
    <mergeCell ref="L34:M34"/>
    <mergeCell ref="E29:H30"/>
    <mergeCell ref="L29:M29"/>
    <mergeCell ref="E31:H32"/>
    <mergeCell ref="L31:M31"/>
    <mergeCell ref="L53:M53"/>
    <mergeCell ref="E55:H56"/>
    <mergeCell ref="L55:M55"/>
    <mergeCell ref="E70:H71"/>
    <mergeCell ref="L70:M70"/>
    <mergeCell ref="E59:H60"/>
    <mergeCell ref="L59:M59"/>
    <mergeCell ref="E61:H62"/>
    <mergeCell ref="L61:M61"/>
    <mergeCell ref="E63:H64"/>
    <mergeCell ref="L63:M63"/>
    <mergeCell ref="E57:H58"/>
    <mergeCell ref="L57:M57"/>
    <mergeCell ref="O65:P65"/>
    <mergeCell ref="E66:H67"/>
    <mergeCell ref="L66:M66"/>
    <mergeCell ref="E68:H69"/>
    <mergeCell ref="L68:M68"/>
    <mergeCell ref="E91:H92"/>
    <mergeCell ref="L91:M91"/>
    <mergeCell ref="E93:H94"/>
    <mergeCell ref="L93:M93"/>
    <mergeCell ref="O82:P82"/>
    <mergeCell ref="E83:H84"/>
    <mergeCell ref="L83:M83"/>
    <mergeCell ref="E72:H73"/>
    <mergeCell ref="L72:M72"/>
    <mergeCell ref="E74:H75"/>
    <mergeCell ref="L74:M74"/>
    <mergeCell ref="E76:H77"/>
    <mergeCell ref="L76:M76"/>
    <mergeCell ref="E78:H79"/>
    <mergeCell ref="L78:M78"/>
    <mergeCell ref="E80:H81"/>
    <mergeCell ref="L80:M80"/>
    <mergeCell ref="E95:H96"/>
    <mergeCell ref="L95:M95"/>
    <mergeCell ref="E97:H98"/>
    <mergeCell ref="L97:M97"/>
    <mergeCell ref="E85:H86"/>
    <mergeCell ref="L85:M85"/>
    <mergeCell ref="E87:H88"/>
    <mergeCell ref="L87:M87"/>
    <mergeCell ref="E89:H90"/>
    <mergeCell ref="L89:M89"/>
    <mergeCell ref="O99:P99"/>
    <mergeCell ref="E104:H105"/>
    <mergeCell ref="L104:M104"/>
    <mergeCell ref="E106:H107"/>
    <mergeCell ref="L106:M106"/>
    <mergeCell ref="E108:H109"/>
    <mergeCell ref="L108:M108"/>
    <mergeCell ref="E110:H111"/>
    <mergeCell ref="L110:M110"/>
    <mergeCell ref="E100:H101"/>
    <mergeCell ref="L100:M100"/>
    <mergeCell ref="E102:H103"/>
    <mergeCell ref="L102:M102"/>
    <mergeCell ref="E112:H113"/>
    <mergeCell ref="L112:M112"/>
    <mergeCell ref="E127:H128"/>
    <mergeCell ref="L127:M127"/>
    <mergeCell ref="E129:H130"/>
    <mergeCell ref="L129:M129"/>
    <mergeCell ref="E123:H124"/>
    <mergeCell ref="L123:M123"/>
    <mergeCell ref="E125:H126"/>
    <mergeCell ref="L125:M125"/>
    <mergeCell ref="E119:H120"/>
    <mergeCell ref="L119:M119"/>
    <mergeCell ref="E121:H122"/>
    <mergeCell ref="L121:M121"/>
    <mergeCell ref="L140:M140"/>
    <mergeCell ref="E131:H132"/>
    <mergeCell ref="L131:M131"/>
    <mergeCell ref="O133:P133"/>
    <mergeCell ref="E134:H135"/>
    <mergeCell ref="L134:M134"/>
    <mergeCell ref="E136:H137"/>
    <mergeCell ref="L136:M136"/>
    <mergeCell ref="E138:H139"/>
    <mergeCell ref="L138:M138"/>
    <mergeCell ref="E140:H141"/>
  </mergeCell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C21"/>
  <sheetViews>
    <sheetView workbookViewId="0">
      <selection sqref="A1:C20"/>
    </sheetView>
  </sheetViews>
  <sheetFormatPr defaultRowHeight="15" x14ac:dyDescent="0.25"/>
  <cols>
    <col min="1" max="1" width="61.85546875" bestFit="1" customWidth="1"/>
    <col min="3" max="3" width="9.85546875" bestFit="1"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2579</v>
      </c>
    </row>
    <row r="7" spans="1:3" ht="15.75" thickBot="1" x14ac:dyDescent="0.3">
      <c r="A7" s="146" t="s">
        <v>3</v>
      </c>
      <c r="B7" s="65">
        <v>2020</v>
      </c>
      <c r="C7" s="65">
        <v>2019</v>
      </c>
    </row>
    <row r="8" spans="1:3" x14ac:dyDescent="0.25">
      <c r="A8" s="4" t="s">
        <v>3</v>
      </c>
      <c r="B8" s="32"/>
      <c r="C8" s="54"/>
    </row>
    <row r="9" spans="1:3" x14ac:dyDescent="0.25">
      <c r="A9" s="4" t="s">
        <v>2578</v>
      </c>
      <c r="B9" s="67">
        <f>SUM('BALANCETE 12-2020'!G1325)/1000</f>
        <v>2983.1254300000001</v>
      </c>
      <c r="C9" s="67">
        <v>2831.6518999999998</v>
      </c>
    </row>
    <row r="10" spans="1:3" x14ac:dyDescent="0.25">
      <c r="A10" s="4" t="s">
        <v>2580</v>
      </c>
      <c r="B10" s="67">
        <f>SUM('BALANCETE 12-2020'!G1389)/1000</f>
        <v>2005.6354699999999</v>
      </c>
      <c r="C10" s="67">
        <v>1815.0858799999999</v>
      </c>
    </row>
    <row r="11" spans="1:3" x14ac:dyDescent="0.25">
      <c r="A11" s="4" t="s">
        <v>221</v>
      </c>
      <c r="B11" s="67">
        <f>SUM('BALANCETE 12-2020'!G1409)/1000</f>
        <v>2823.6642099999999</v>
      </c>
      <c r="C11" s="67">
        <v>701.41556000000003</v>
      </c>
    </row>
    <row r="12" spans="1:3" x14ac:dyDescent="0.25">
      <c r="A12" s="4" t="s">
        <v>2581</v>
      </c>
      <c r="B12" s="111">
        <f>SUM('BALANCETE 12-2020'!G1434)/1000</f>
        <v>1983.2075600000001</v>
      </c>
      <c r="C12" s="67">
        <v>1619.9498700000001</v>
      </c>
    </row>
    <row r="13" spans="1:3" x14ac:dyDescent="0.25">
      <c r="A13" s="4" t="s">
        <v>3304</v>
      </c>
      <c r="B13" s="369">
        <f>SUM('BALANCETE 12-2020'!G1473)/1000</f>
        <v>-230.27627999999999</v>
      </c>
      <c r="C13" s="67" t="s">
        <v>4</v>
      </c>
    </row>
    <row r="14" spans="1:3" x14ac:dyDescent="0.25">
      <c r="A14" s="4" t="s">
        <v>2582</v>
      </c>
      <c r="B14" s="67">
        <f>SUM('BALANCETE 12-2020'!G1486)/1000</f>
        <v>156.68648000000002</v>
      </c>
      <c r="C14" s="67">
        <v>134.71785999999997</v>
      </c>
    </row>
    <row r="15" spans="1:3" x14ac:dyDescent="0.25">
      <c r="A15" s="4" t="s">
        <v>3303</v>
      </c>
      <c r="B15" s="67">
        <f>SUM('BALANCETE 12-2020'!G1495)/1000</f>
        <v>308.39902000000001</v>
      </c>
      <c r="C15" s="67" t="s">
        <v>4</v>
      </c>
    </row>
    <row r="16" spans="1:3" x14ac:dyDescent="0.25">
      <c r="A16" s="4" t="s">
        <v>2583</v>
      </c>
      <c r="B16" s="169">
        <f>SUM('BALANCETE 12-2020'!G1465+'BALANCETE 12-2020'!G1474+'BALANCETE 12-2020'!G1478)/1000</f>
        <v>35.150120000000001</v>
      </c>
      <c r="C16" s="169">
        <v>201.21935000000002</v>
      </c>
    </row>
    <row r="17" spans="1:3" ht="15.75" thickBot="1" x14ac:dyDescent="0.3">
      <c r="A17" s="4" t="s">
        <v>3</v>
      </c>
      <c r="B17" s="69">
        <f>SUM(B9:B16)</f>
        <v>10065.592010000002</v>
      </c>
      <c r="C17" s="69">
        <v>7304.0404200000003</v>
      </c>
    </row>
    <row r="18" spans="1:3" ht="15.75" thickTop="1" x14ac:dyDescent="0.25"/>
    <row r="20" spans="1:3" ht="15.75" thickBot="1" x14ac:dyDescent="0.3">
      <c r="A20" s="4" t="s">
        <v>2185</v>
      </c>
      <c r="B20" s="155">
        <f>SUM(DRE!C16)</f>
        <v>-10065.592010000002</v>
      </c>
      <c r="C20" s="155">
        <f>SUM(DRE!D16)</f>
        <v>-7304.0404199999994</v>
      </c>
    </row>
    <row r="21" spans="1:3" ht="15.75" thickTop="1" x14ac:dyDescent="0.25"/>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C11"/>
  <sheetViews>
    <sheetView zoomScaleNormal="100" workbookViewId="0">
      <selection activeCell="A17" sqref="A17"/>
    </sheetView>
  </sheetViews>
  <sheetFormatPr defaultRowHeight="12" x14ac:dyDescent="0.2"/>
  <cols>
    <col min="1" max="1" width="51.140625" style="57" bestFit="1" customWidth="1"/>
    <col min="2" max="2" width="16.28515625" style="57" customWidth="1"/>
    <col min="3" max="3" width="17" style="57" customWidth="1"/>
    <col min="4" max="16384" width="9.140625" style="57"/>
  </cols>
  <sheetData>
    <row r="1" spans="1:3" s="56" customFormat="1" ht="15" x14ac:dyDescent="0.2">
      <c r="A1" s="88" t="s">
        <v>258</v>
      </c>
    </row>
    <row r="2" spans="1:3" s="56" customFormat="1" ht="15" x14ac:dyDescent="0.2">
      <c r="A2" s="88" t="s">
        <v>2747</v>
      </c>
    </row>
    <row r="3" spans="1:3" s="56" customFormat="1" ht="14.25" x14ac:dyDescent="0.2">
      <c r="A3" s="480" t="s">
        <v>0</v>
      </c>
    </row>
    <row r="4" spans="1:3" x14ac:dyDescent="0.2">
      <c r="A4" s="146"/>
    </row>
    <row r="5" spans="1:3" x14ac:dyDescent="0.2">
      <c r="A5" s="146"/>
    </row>
    <row r="6" spans="1:3" x14ac:dyDescent="0.2">
      <c r="A6" s="146"/>
    </row>
    <row r="7" spans="1:3" ht="12.75" thickBot="1" x14ac:dyDescent="0.25">
      <c r="A7" s="146" t="s">
        <v>3</v>
      </c>
      <c r="B7" s="478">
        <v>2020</v>
      </c>
      <c r="C7" s="478">
        <v>2019</v>
      </c>
    </row>
    <row r="8" spans="1:3" x14ac:dyDescent="0.2">
      <c r="B8" s="11"/>
      <c r="C8" s="142" t="s">
        <v>3056</v>
      </c>
    </row>
    <row r="9" spans="1:3" ht="12.75" thickBot="1" x14ac:dyDescent="0.25">
      <c r="A9" s="146" t="s">
        <v>26</v>
      </c>
      <c r="B9" s="13">
        <f>DRE!C31</f>
        <v>30486.861270000005</v>
      </c>
      <c r="C9" s="13">
        <f>DRE!D31</f>
        <v>40106.396420000019</v>
      </c>
    </row>
    <row r="10" spans="1:3" ht="12.75" thickBot="1" x14ac:dyDescent="0.25">
      <c r="A10" s="4" t="s">
        <v>36</v>
      </c>
      <c r="B10" s="13">
        <f>B9</f>
        <v>30486.861270000005</v>
      </c>
      <c r="C10" s="13">
        <f>C9</f>
        <v>40106.396420000019</v>
      </c>
    </row>
    <row r="11" spans="1:3" x14ac:dyDescent="0.2">
      <c r="A11" s="146" t="s">
        <v>3</v>
      </c>
      <c r="B11" s="6"/>
      <c r="C11" s="6"/>
    </row>
  </sheetData>
  <pageMargins left="0.511811024" right="0.511811024" top="0.78740157499999996" bottom="0.78740157499999996" header="0.31496062000000002" footer="0.31496062000000002"/>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C29"/>
  <sheetViews>
    <sheetView topLeftCell="A13" workbookViewId="0">
      <selection sqref="A1:C28"/>
    </sheetView>
  </sheetViews>
  <sheetFormatPr defaultRowHeight="15" x14ac:dyDescent="0.25"/>
  <cols>
    <col min="1" max="1" width="61.85546875" bestFit="1" customWidth="1"/>
    <col min="2" max="3" width="9.85546875" bestFit="1"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3305</v>
      </c>
    </row>
    <row r="7" spans="1:3" ht="15.75" thickBot="1" x14ac:dyDescent="0.3">
      <c r="A7" s="146" t="s">
        <v>3</v>
      </c>
      <c r="B7" s="65">
        <v>2020</v>
      </c>
      <c r="C7" s="65">
        <v>2019</v>
      </c>
    </row>
    <row r="8" spans="1:3" x14ac:dyDescent="0.25">
      <c r="A8" s="4" t="s">
        <v>3310</v>
      </c>
      <c r="B8" s="67"/>
      <c r="C8" s="67"/>
    </row>
    <row r="9" spans="1:3" x14ac:dyDescent="0.25">
      <c r="A9" s="4" t="s">
        <v>2570</v>
      </c>
      <c r="B9" s="370">
        <f>-SUM('BALANCETE 12-2020'!G1563+'BALANCETE 12-2020'!G1569)/1000</f>
        <v>4407.2045499999995</v>
      </c>
      <c r="C9" s="370">
        <v>3691</v>
      </c>
    </row>
    <row r="10" spans="1:3" x14ac:dyDescent="0.25">
      <c r="A10" s="4" t="s">
        <v>3311</v>
      </c>
      <c r="B10" s="370">
        <f>-SUM('BALANCETE 12-2020'!G1577)/1000</f>
        <v>130.23174</v>
      </c>
      <c r="C10" s="370" t="e">
        <f>-SUM(#REF!)/1000</f>
        <v>#REF!</v>
      </c>
    </row>
    <row r="11" spans="1:3" x14ac:dyDescent="0.25">
      <c r="A11" s="4" t="s">
        <v>3312</v>
      </c>
      <c r="B11" s="370">
        <f>-SUM('BALANCETE 12-2020'!G1582)/1000</f>
        <v>-441.56112999999999</v>
      </c>
      <c r="C11" s="370" t="e">
        <f>-SUM(#REF!)/1000</f>
        <v>#REF!</v>
      </c>
    </row>
    <row r="12" spans="1:3" x14ac:dyDescent="0.25">
      <c r="A12" s="4" t="s">
        <v>3094</v>
      </c>
      <c r="B12" s="370">
        <f>-SUM('BALANCETE 12-2020'!G1565)/1000</f>
        <v>80.984759999999994</v>
      </c>
      <c r="C12" s="67" t="s">
        <v>4</v>
      </c>
    </row>
    <row r="13" spans="1:3" x14ac:dyDescent="0.25">
      <c r="A13" s="4" t="s">
        <v>3314</v>
      </c>
      <c r="B13" s="370">
        <f>-SUM('BALANCETE 12-2020'!G1580)/1000</f>
        <v>68.348839999999996</v>
      </c>
      <c r="C13" s="67" t="s">
        <v>4</v>
      </c>
    </row>
    <row r="14" spans="1:3" x14ac:dyDescent="0.25">
      <c r="A14" s="4" t="s">
        <v>3313</v>
      </c>
      <c r="B14" s="371">
        <f>-SUM('BALANCETE 12-2020'!G1572+'BALANCETE 12-2020'!G1575+'BALANCETE 12-2020'!G1576+'BALANCETE 12-2020'!G1578+'BALANCETE 12-2020'!G1581)/1000</f>
        <v>13.809060000000001</v>
      </c>
      <c r="C14" s="371" t="e">
        <f>-SUM(#REF!+#REF!+#REF!+#REF!)/1000+3</f>
        <v>#REF!</v>
      </c>
    </row>
    <row r="15" spans="1:3" x14ac:dyDescent="0.25">
      <c r="A15" s="4"/>
      <c r="B15" s="372">
        <f>SUM(B9:B14)-1</f>
        <v>4258.0178199999991</v>
      </c>
      <c r="C15" s="372" t="e">
        <f>SUM(C9:C14)-1</f>
        <v>#REF!</v>
      </c>
    </row>
    <row r="16" spans="1:3" x14ac:dyDescent="0.25">
      <c r="A16" s="146"/>
      <c r="B16" s="376"/>
      <c r="C16" s="376"/>
    </row>
    <row r="17" spans="1:3" x14ac:dyDescent="0.25">
      <c r="A17" s="4" t="s">
        <v>3306</v>
      </c>
      <c r="B17" s="32"/>
      <c r="C17" s="54"/>
    </row>
    <row r="18" spans="1:3" x14ac:dyDescent="0.25">
      <c r="A18" s="4" t="s">
        <v>3307</v>
      </c>
      <c r="B18" s="370">
        <f>-SUM('BALANCETE 12-2020'!G1599)/1000</f>
        <v>-172.47769</v>
      </c>
      <c r="C18" s="54" t="s">
        <v>4</v>
      </c>
    </row>
    <row r="19" spans="1:3" x14ac:dyDescent="0.25">
      <c r="A19" s="4" t="s">
        <v>3308</v>
      </c>
      <c r="B19" s="370">
        <f>-SUM('BALANCETE 12-2020'!G1594)/1000</f>
        <v>-129.64886999999999</v>
      </c>
      <c r="C19" s="54" t="s">
        <v>4</v>
      </c>
    </row>
    <row r="20" spans="1:3" x14ac:dyDescent="0.25">
      <c r="A20" s="4" t="s">
        <v>3309</v>
      </c>
      <c r="B20" s="370">
        <f>-SUM('BALANCETE 12-2020'!G1602)/1000</f>
        <v>-28.652000000000001</v>
      </c>
      <c r="C20" s="54" t="s">
        <v>4</v>
      </c>
    </row>
    <row r="21" spans="1:3" x14ac:dyDescent="0.25">
      <c r="A21" s="4" t="s">
        <v>2584</v>
      </c>
      <c r="B21" s="67" t="s">
        <v>4</v>
      </c>
      <c r="C21" s="370">
        <v>-3812</v>
      </c>
    </row>
    <row r="22" spans="1:3" x14ac:dyDescent="0.25">
      <c r="A22" s="4" t="s">
        <v>2585</v>
      </c>
      <c r="B22" s="370">
        <f>-SUM('BALANCETE 12-2020'!G1496+'BALANCETE 12-2020'!G1266)/1000</f>
        <v>-238.49052000000003</v>
      </c>
      <c r="C22" s="370" t="e">
        <f>-SUM(#REF!+#REF!)/1000</f>
        <v>#REF!</v>
      </c>
    </row>
    <row r="23" spans="1:3" x14ac:dyDescent="0.25">
      <c r="A23" s="4"/>
      <c r="B23" s="372">
        <f>SUM(B18:B22)</f>
        <v>-569.26908000000003</v>
      </c>
      <c r="C23" s="372" t="e">
        <f>SUM(C21:C22)</f>
        <v>#REF!</v>
      </c>
    </row>
    <row r="24" spans="1:3" x14ac:dyDescent="0.25">
      <c r="A24" s="146"/>
      <c r="B24" s="376"/>
      <c r="C24" s="376"/>
    </row>
    <row r="25" spans="1:3" ht="15.75" thickBot="1" x14ac:dyDescent="0.3">
      <c r="A25" s="4" t="s">
        <v>3315</v>
      </c>
      <c r="B25" s="374">
        <f>SUM(B23,B15)</f>
        <v>3688.7487399999991</v>
      </c>
      <c r="C25" s="374" t="e">
        <f>SUM(C23,C15)</f>
        <v>#REF!</v>
      </c>
    </row>
    <row r="26" spans="1:3" ht="15.75" thickTop="1" x14ac:dyDescent="0.25"/>
    <row r="28" spans="1:3" ht="15.75" thickBot="1" x14ac:dyDescent="0.3">
      <c r="A28" s="31" t="s">
        <v>2185</v>
      </c>
      <c r="B28" s="375">
        <f>SUM(DRE!C17)</f>
        <v>3688.7469800000003</v>
      </c>
      <c r="C28" s="170">
        <f>SUM(DRE!D17)</f>
        <v>-518.1445299999998</v>
      </c>
    </row>
    <row r="29" spans="1:3" ht="15.75" thickTop="1" x14ac:dyDescent="0.25"/>
  </sheetData>
  <pageMargins left="0.511811024" right="0.511811024" top="0.78740157499999996" bottom="0.78740157499999996" header="0.31496062000000002" footer="0.31496062000000002"/>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C23"/>
  <sheetViews>
    <sheetView workbookViewId="0">
      <selection sqref="A1:XFD1048576"/>
    </sheetView>
  </sheetViews>
  <sheetFormatPr defaultRowHeight="15" x14ac:dyDescent="0.25"/>
  <cols>
    <col min="1" max="1" width="45.5703125" customWidth="1"/>
    <col min="2" max="2" width="12.28515625" customWidth="1"/>
    <col min="3" max="3" width="13" customWidth="1"/>
    <col min="4" max="4" width="12.5703125" customWidth="1"/>
    <col min="5" max="5" width="13.5703125" customWidth="1"/>
    <col min="6" max="6" width="11.42578125"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2586</v>
      </c>
    </row>
    <row r="7" spans="1:3" ht="15.75" thickBot="1" x14ac:dyDescent="0.3">
      <c r="A7" s="3" t="s">
        <v>3</v>
      </c>
      <c r="B7" s="65">
        <v>2020</v>
      </c>
      <c r="C7" s="64">
        <v>2019</v>
      </c>
    </row>
    <row r="8" spans="1:3" x14ac:dyDescent="0.25">
      <c r="A8" s="31" t="s">
        <v>228</v>
      </c>
      <c r="B8" s="30"/>
      <c r="C8" s="14"/>
    </row>
    <row r="9" spans="1:3" x14ac:dyDescent="0.25">
      <c r="A9" s="4" t="s">
        <v>229</v>
      </c>
      <c r="B9" s="67">
        <f>-SUM('BALANCETE 12-2020'!G1622+'BALANCETE 12-2020'!G1638)/1000</f>
        <v>5832.7661500000004</v>
      </c>
      <c r="C9" s="67">
        <v>10330.445760000001</v>
      </c>
    </row>
    <row r="10" spans="1:3" x14ac:dyDescent="0.25">
      <c r="A10" s="4" t="s">
        <v>2575</v>
      </c>
      <c r="B10" s="67">
        <f>-SUM('BALANCETE 12-2020'!G1617-'BALANCETE 12-2020'!G1622-'BALANCETE 12-2020'!G1638-'BALANCETE 12-2020'!G1642)/1000</f>
        <v>49.307319999999365</v>
      </c>
      <c r="C10" s="67">
        <v>245.10123999999999</v>
      </c>
    </row>
    <row r="11" spans="1:3" ht="15.75" thickBot="1" x14ac:dyDescent="0.3">
      <c r="A11" s="4" t="s">
        <v>230</v>
      </c>
      <c r="B11" s="154">
        <f>-SUM('BALANCETE 12-2020'!G1642)/1000</f>
        <v>-277.09174999999999</v>
      </c>
      <c r="C11" s="154">
        <v>-502.14598999999998</v>
      </c>
    </row>
    <row r="12" spans="1:3" ht="15.75" thickBot="1" x14ac:dyDescent="0.3">
      <c r="A12" s="3" t="s">
        <v>3</v>
      </c>
      <c r="B12" s="71">
        <f>SUM(B9:B11)</f>
        <v>5604.9817199999998</v>
      </c>
      <c r="C12" s="71">
        <v>10073.401010000001</v>
      </c>
    </row>
    <row r="13" spans="1:3" x14ac:dyDescent="0.25">
      <c r="A13" s="31" t="s">
        <v>231</v>
      </c>
      <c r="B13" s="6"/>
      <c r="C13" s="26"/>
    </row>
    <row r="14" spans="1:3" x14ac:dyDescent="0.25">
      <c r="A14" s="4" t="s">
        <v>232</v>
      </c>
      <c r="B14" s="153">
        <f>-SUM('BALANCETE 12-2020V2'!AF1679:AL1679)/1000</f>
        <v>-35649.86017</v>
      </c>
      <c r="C14" s="153">
        <v>-14617.749400000001</v>
      </c>
    </row>
    <row r="15" spans="1:3" x14ac:dyDescent="0.25">
      <c r="A15" s="4" t="s">
        <v>233</v>
      </c>
      <c r="B15" s="153">
        <f>-SUM('BALANCETE 12-2020V2'!AF1681:AL1681)/1000</f>
        <v>-5222.1807399999998</v>
      </c>
      <c r="C15" s="153">
        <v>-4504.5631700000004</v>
      </c>
    </row>
    <row r="16" spans="1:3" x14ac:dyDescent="0.25">
      <c r="A16" s="4" t="s">
        <v>235</v>
      </c>
      <c r="B16" s="153">
        <f>-SUM('BALANCETE 12-2020'!G1673)/1000</f>
        <v>-23.15269</v>
      </c>
      <c r="C16" s="153">
        <v>-56</v>
      </c>
    </row>
    <row r="17" spans="1:3" ht="15.75" thickBot="1" x14ac:dyDescent="0.3">
      <c r="A17" s="4" t="s">
        <v>234</v>
      </c>
      <c r="B17" s="154">
        <f>-SUM('BALANCETE 12-2020'!G1665-'BALANCETE 12-2020'!G1672-'BALANCETE 12-2020'!G1673-'BALANCETE 12-2020'!G1674-'BALANCETE 12-2020'!G1699)/1000</f>
        <v>-46.040730000000444</v>
      </c>
      <c r="C17" s="154">
        <v>-42.944900000000004</v>
      </c>
    </row>
    <row r="18" spans="1:3" ht="15.75" thickBot="1" x14ac:dyDescent="0.3">
      <c r="A18" s="4" t="s">
        <v>3</v>
      </c>
      <c r="B18" s="152">
        <f>SUM(B14:B17)</f>
        <v>-40941.234329999999</v>
      </c>
      <c r="C18" s="152">
        <v>-19222.17785</v>
      </c>
    </row>
    <row r="19" spans="1:3" ht="15.75" thickBot="1" x14ac:dyDescent="0.3">
      <c r="A19" s="31" t="s">
        <v>33</v>
      </c>
      <c r="B19" s="163">
        <f>SUM(B12+B18)</f>
        <v>-35336.252609999996</v>
      </c>
      <c r="C19" s="163">
        <v>-9148.7768399999986</v>
      </c>
    </row>
    <row r="20" spans="1:3" ht="15.75" thickTop="1" x14ac:dyDescent="0.25">
      <c r="A20" s="72"/>
    </row>
    <row r="23" spans="1:3" x14ac:dyDescent="0.25">
      <c r="A23" s="89" t="s">
        <v>2185</v>
      </c>
      <c r="B23" s="161">
        <f>SUM(DRE!C24)</f>
        <v>-35336.252609999996</v>
      </c>
      <c r="C23" s="161">
        <f>SUM(DRE!D24)</f>
        <v>-9148.7768400000004</v>
      </c>
    </row>
  </sheetData>
  <pageMargins left="0.511811024" right="0.511811024" top="0.78740157499999996" bottom="0.78740157499999996" header="0.31496062000000002" footer="0.31496062000000002"/>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H82"/>
  <sheetViews>
    <sheetView topLeftCell="A32" zoomScaleNormal="100" workbookViewId="0">
      <selection activeCell="H47" sqref="H47"/>
    </sheetView>
  </sheetViews>
  <sheetFormatPr defaultRowHeight="15" x14ac:dyDescent="0.25"/>
  <cols>
    <col min="1" max="1" width="45.5703125" customWidth="1"/>
    <col min="2" max="2" width="12.28515625" customWidth="1"/>
    <col min="3" max="3" width="13" customWidth="1"/>
    <col min="4" max="4" width="12.5703125" customWidth="1"/>
    <col min="5" max="5" width="13.5703125" customWidth="1"/>
    <col min="6" max="6" width="11.42578125" customWidth="1"/>
    <col min="8" max="8" width="12.7109375" bestFit="1"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2587</v>
      </c>
    </row>
    <row r="7" spans="1:3" x14ac:dyDescent="0.25">
      <c r="A7" s="56" t="s">
        <v>3316</v>
      </c>
    </row>
    <row r="9" spans="1:3" ht="15.75" thickBot="1" x14ac:dyDescent="0.3">
      <c r="A9" s="4" t="s">
        <v>3</v>
      </c>
      <c r="B9" s="644">
        <v>2020</v>
      </c>
      <c r="C9" s="644"/>
    </row>
    <row r="10" spans="1:3" ht="15.75" thickBot="1" x14ac:dyDescent="0.3">
      <c r="A10" s="4" t="s">
        <v>3</v>
      </c>
      <c r="B10" s="300" t="s">
        <v>236</v>
      </c>
      <c r="C10" s="145" t="s">
        <v>237</v>
      </c>
    </row>
    <row r="11" spans="1:3" x14ac:dyDescent="0.25">
      <c r="A11" s="4" t="s">
        <v>3</v>
      </c>
      <c r="B11" s="68"/>
      <c r="C11" s="67"/>
    </row>
    <row r="12" spans="1:3" x14ac:dyDescent="0.25">
      <c r="A12" s="4" t="s">
        <v>238</v>
      </c>
      <c r="B12" s="446">
        <f>SUM(DRE!C25)</f>
        <v>36851.099830000006</v>
      </c>
      <c r="C12" s="67">
        <f>B12</f>
        <v>36851.099830000006</v>
      </c>
    </row>
    <row r="13" spans="1:3" x14ac:dyDescent="0.25">
      <c r="A13" s="4" t="s">
        <v>239</v>
      </c>
      <c r="B13" s="68">
        <f>11299723.49/1000</f>
        <v>11299.72349</v>
      </c>
      <c r="C13" s="67">
        <f>B13</f>
        <v>11299.72349</v>
      </c>
    </row>
    <row r="14" spans="1:3" ht="15.75" thickBot="1" x14ac:dyDescent="0.3">
      <c r="A14" s="4" t="s">
        <v>240</v>
      </c>
      <c r="B14" s="447">
        <f>-31949576.35/1000</f>
        <v>-31949.576350000003</v>
      </c>
      <c r="C14" s="154">
        <f>B14</f>
        <v>-31949.576350000003</v>
      </c>
    </row>
    <row r="15" spans="1:3" x14ac:dyDescent="0.25">
      <c r="A15" s="31" t="s">
        <v>205</v>
      </c>
      <c r="B15" s="73">
        <f>SUM(B12:B14)+1</f>
        <v>16202.246970000007</v>
      </c>
      <c r="C15" s="73">
        <f>SUM(C12:C14)+1</f>
        <v>16202.246970000007</v>
      </c>
    </row>
    <row r="16" spans="1:3" x14ac:dyDescent="0.25">
      <c r="A16" s="4" t="s">
        <v>3</v>
      </c>
      <c r="B16" s="66"/>
      <c r="C16" s="32"/>
    </row>
    <row r="17" spans="1:7" x14ac:dyDescent="0.25">
      <c r="A17" s="4" t="s">
        <v>241</v>
      </c>
      <c r="B17" s="75">
        <v>0.15</v>
      </c>
      <c r="C17" s="76">
        <v>0.09</v>
      </c>
    </row>
    <row r="18" spans="1:7" x14ac:dyDescent="0.25">
      <c r="A18" s="4" t="s">
        <v>242</v>
      </c>
      <c r="B18" s="68">
        <f>SUM(B15*15%)</f>
        <v>2430.3370455000008</v>
      </c>
      <c r="C18" s="68">
        <f>SUM(C15*C17)</f>
        <v>1458.2022273000007</v>
      </c>
    </row>
    <row r="19" spans="1:7" x14ac:dyDescent="0.25">
      <c r="A19" s="4" t="s">
        <v>243</v>
      </c>
      <c r="B19" s="121">
        <v>1596</v>
      </c>
      <c r="C19" s="124" t="s">
        <v>4</v>
      </c>
    </row>
    <row r="20" spans="1:7" ht="15.75" thickBot="1" x14ac:dyDescent="0.3">
      <c r="A20" s="4" t="s">
        <v>53</v>
      </c>
      <c r="B20" s="70" t="s">
        <v>4</v>
      </c>
      <c r="C20" s="70">
        <f>26527.62/1000</f>
        <v>26.527619999999999</v>
      </c>
    </row>
    <row r="21" spans="1:7" ht="15.75" thickBot="1" x14ac:dyDescent="0.3">
      <c r="A21" s="146" t="s">
        <v>244</v>
      </c>
      <c r="B21" s="74">
        <f>SUM(B18:B20)</f>
        <v>4026.3370455000008</v>
      </c>
      <c r="C21" s="74">
        <f>SUM(C18:C20)</f>
        <v>1484.7298473000008</v>
      </c>
      <c r="E21" s="89" t="s">
        <v>2576</v>
      </c>
      <c r="F21" s="167">
        <f>SUM(DRE!C28)</f>
        <v>-4026.3117499999998</v>
      </c>
      <c r="G21" s="167">
        <f>DRE!C27</f>
        <v>-1484.63985</v>
      </c>
    </row>
    <row r="22" spans="1:7" ht="15.75" thickTop="1" x14ac:dyDescent="0.25"/>
    <row r="24" spans="1:7" x14ac:dyDescent="0.25">
      <c r="A24" s="2" t="s">
        <v>251</v>
      </c>
      <c r="B24" s="58"/>
      <c r="C24" s="77"/>
    </row>
    <row r="25" spans="1:7" x14ac:dyDescent="0.25">
      <c r="A25" s="44"/>
    </row>
    <row r="26" spans="1:7" ht="15.75" thickBot="1" x14ac:dyDescent="0.3">
      <c r="A26" s="301" t="s">
        <v>245</v>
      </c>
      <c r="B26" s="301">
        <v>2020</v>
      </c>
      <c r="C26" s="145">
        <v>2019</v>
      </c>
    </row>
    <row r="27" spans="1:7" x14ac:dyDescent="0.25">
      <c r="A27" s="4" t="s">
        <v>3</v>
      </c>
      <c r="B27" s="66"/>
      <c r="C27" s="28"/>
    </row>
    <row r="28" spans="1:7" x14ac:dyDescent="0.25">
      <c r="A28" s="4" t="s">
        <v>2258</v>
      </c>
      <c r="B28" s="377">
        <f>244-231+44</f>
        <v>57</v>
      </c>
      <c r="C28" s="68">
        <v>244</v>
      </c>
    </row>
    <row r="29" spans="1:7" x14ac:dyDescent="0.25">
      <c r="A29" s="4" t="s">
        <v>246</v>
      </c>
      <c r="B29" s="121">
        <f>SUM(7576-437)</f>
        <v>7139</v>
      </c>
      <c r="C29" s="121">
        <v>7576</v>
      </c>
    </row>
    <row r="30" spans="1:7" ht="15.75" thickBot="1" x14ac:dyDescent="0.3">
      <c r="A30" s="4" t="s">
        <v>247</v>
      </c>
      <c r="B30" s="70">
        <f>SUM(-1934+33517)</f>
        <v>31583</v>
      </c>
      <c r="C30" s="70">
        <v>33517</v>
      </c>
    </row>
    <row r="31" spans="1:7" ht="15.75" thickBot="1" x14ac:dyDescent="0.3">
      <c r="A31" s="31" t="s">
        <v>248</v>
      </c>
      <c r="B31" s="63">
        <f>SUM(B28:B30)</f>
        <v>38779</v>
      </c>
      <c r="C31" s="63">
        <v>41337</v>
      </c>
    </row>
    <row r="32" spans="1:7" ht="15.75" thickTop="1" x14ac:dyDescent="0.25">
      <c r="A32" s="4" t="s">
        <v>3</v>
      </c>
      <c r="B32" s="110"/>
      <c r="C32" s="18"/>
    </row>
    <row r="33" spans="1:6" x14ac:dyDescent="0.25">
      <c r="A33" s="4" t="s">
        <v>241</v>
      </c>
      <c r="B33" s="437">
        <f>C33</f>
        <v>0.34</v>
      </c>
      <c r="C33" s="437">
        <v>0.34</v>
      </c>
    </row>
    <row r="34" spans="1:6" x14ac:dyDescent="0.25">
      <c r="A34" s="4" t="s">
        <v>249</v>
      </c>
      <c r="B34" s="121">
        <f>SUM(B31*B33)</f>
        <v>13184.86</v>
      </c>
      <c r="C34" s="121">
        <v>14054.580000000002</v>
      </c>
    </row>
    <row r="35" spans="1:6" x14ac:dyDescent="0.25">
      <c r="A35" s="4" t="s">
        <v>53</v>
      </c>
      <c r="B35" s="438">
        <v>17</v>
      </c>
      <c r="C35" s="438" t="s">
        <v>4</v>
      </c>
    </row>
    <row r="36" spans="1:6" x14ac:dyDescent="0.25">
      <c r="A36" s="4" t="s">
        <v>4966</v>
      </c>
      <c r="B36" s="121">
        <f>SUM(B34:B35)</f>
        <v>13201.86</v>
      </c>
      <c r="C36" s="121">
        <f>SUM(C34:C35)</f>
        <v>14054.580000000002</v>
      </c>
    </row>
    <row r="37" spans="1:6" x14ac:dyDescent="0.25">
      <c r="A37" s="4" t="s">
        <v>250</v>
      </c>
      <c r="B37" s="121">
        <f>SUM(C36-B36)</f>
        <v>852.72000000000116</v>
      </c>
      <c r="C37" s="121">
        <v>806.08490299999994</v>
      </c>
    </row>
    <row r="38" spans="1:6" ht="15.75" thickBot="1" x14ac:dyDescent="0.3">
      <c r="A38" s="4"/>
      <c r="B38" s="378"/>
      <c r="C38" s="63"/>
    </row>
    <row r="39" spans="1:6" ht="15.75" thickTop="1" x14ac:dyDescent="0.25">
      <c r="A39" s="4"/>
      <c r="B39" s="379">
        <f>SUM(B37:B38)</f>
        <v>852.72000000000116</v>
      </c>
      <c r="C39" s="166">
        <f>SUM(C37)</f>
        <v>806.08490299999994</v>
      </c>
      <c r="E39" s="89" t="str">
        <f>E21</f>
        <v>conforme DRE</v>
      </c>
      <c r="F39" s="167">
        <f>DRE!C29</f>
        <v>-853.28695999999991</v>
      </c>
    </row>
    <row r="41" spans="1:6" s="365" customFormat="1" x14ac:dyDescent="0.25"/>
    <row r="42" spans="1:6" ht="15.75" thickBot="1" x14ac:dyDescent="0.3">
      <c r="A42" s="4" t="s">
        <v>3</v>
      </c>
      <c r="B42" s="644">
        <v>2019</v>
      </c>
      <c r="C42" s="644"/>
    </row>
    <row r="43" spans="1:6" ht="15.75" thickBot="1" x14ac:dyDescent="0.3">
      <c r="A43" s="4" t="s">
        <v>3</v>
      </c>
      <c r="B43" s="143" t="s">
        <v>236</v>
      </c>
      <c r="C43" s="145" t="s">
        <v>237</v>
      </c>
    </row>
    <row r="44" spans="1:6" x14ac:dyDescent="0.25">
      <c r="A44" s="4" t="s">
        <v>3</v>
      </c>
      <c r="B44" s="68"/>
      <c r="C44" s="67"/>
    </row>
    <row r="45" spans="1:6" x14ac:dyDescent="0.25">
      <c r="A45" s="4" t="s">
        <v>238</v>
      </c>
      <c r="B45" s="68">
        <f>SUM(DRE!D25)</f>
        <v>52806.383160000019</v>
      </c>
      <c r="C45" s="67">
        <f>B45</f>
        <v>52806.383160000019</v>
      </c>
    </row>
    <row r="46" spans="1:6" x14ac:dyDescent="0.25">
      <c r="A46" s="4" t="s">
        <v>239</v>
      </c>
      <c r="B46" s="68">
        <f>SUM('[3]APURAÇÃO DEZ.2019'!$C$64)/1000+1</f>
        <v>7631.8825299999999</v>
      </c>
      <c r="C46" s="67">
        <f>B46</f>
        <v>7631.8825299999999</v>
      </c>
    </row>
    <row r="47" spans="1:6" ht="15.75" thickBot="1" x14ac:dyDescent="0.3">
      <c r="A47" s="4" t="s">
        <v>240</v>
      </c>
      <c r="B47" s="165">
        <f>-SUM('[3]APURAÇÃO DEZ.2019'!$C$76)/1000</f>
        <v>-25796.541570571426</v>
      </c>
      <c r="C47" s="154">
        <f>B47</f>
        <v>-25796.541570571426</v>
      </c>
    </row>
    <row r="48" spans="1:6" x14ac:dyDescent="0.25">
      <c r="A48" s="31" t="s">
        <v>205</v>
      </c>
      <c r="B48" s="73">
        <f>SUM(B45:B47)-1</f>
        <v>34640.724119428596</v>
      </c>
      <c r="C48" s="73">
        <f>SUM(C45:C47)-1</f>
        <v>34640.724119428596</v>
      </c>
    </row>
    <row r="49" spans="1:7" x14ac:dyDescent="0.25">
      <c r="A49" s="4" t="s">
        <v>3</v>
      </c>
      <c r="B49" s="66"/>
      <c r="C49" s="32"/>
    </row>
    <row r="50" spans="1:7" x14ac:dyDescent="0.25">
      <c r="A50" s="4" t="s">
        <v>241</v>
      </c>
      <c r="B50" s="75">
        <v>0.15</v>
      </c>
      <c r="C50" s="76">
        <v>0.09</v>
      </c>
    </row>
    <row r="51" spans="1:7" x14ac:dyDescent="0.25">
      <c r="A51" s="4" t="s">
        <v>242</v>
      </c>
      <c r="B51" s="68">
        <f>SUM(B48*15%)</f>
        <v>5196.1086179142894</v>
      </c>
      <c r="C51" s="68">
        <f>SUM(C48*C50)</f>
        <v>3117.6651707485735</v>
      </c>
    </row>
    <row r="52" spans="1:7" x14ac:dyDescent="0.25">
      <c r="A52" s="4" t="s">
        <v>243</v>
      </c>
      <c r="B52" s="121">
        <f>SUM('[3]APURAÇÃO DEZ.2019'!$G$83)/1000</f>
        <v>3463.7724119428576</v>
      </c>
      <c r="C52" s="124" t="s">
        <v>4</v>
      </c>
    </row>
    <row r="53" spans="1:7" ht="15.75" thickBot="1" x14ac:dyDescent="0.3">
      <c r="A53" s="4" t="s">
        <v>53</v>
      </c>
      <c r="B53" s="70">
        <f>SUM('[3]VR ESTIMATIVAS'!$F$21)/1000+35</f>
        <v>63.993659999999998</v>
      </c>
      <c r="C53" s="70">
        <f>SUM('[3]VR ESTIMATIVAS'!$H$21)/1000+21</f>
        <v>52.481930000000006</v>
      </c>
    </row>
    <row r="54" spans="1:7" ht="15.75" thickBot="1" x14ac:dyDescent="0.3">
      <c r="A54" s="146" t="s">
        <v>244</v>
      </c>
      <c r="B54" s="74">
        <f>SUM(B51:B53)</f>
        <v>8723.874689857148</v>
      </c>
      <c r="C54" s="74">
        <f>SUM(C51:C53)</f>
        <v>3170.1471007485734</v>
      </c>
      <c r="E54" s="89" t="s">
        <v>2576</v>
      </c>
      <c r="F54" s="167">
        <f>SUM(DRE!D28)</f>
        <v>-8724.4247100000011</v>
      </c>
      <c r="G54" s="167">
        <f>SUM(DRE!D27)</f>
        <v>-3170.47712</v>
      </c>
    </row>
    <row r="55" spans="1:7" ht="15.75" thickTop="1" x14ac:dyDescent="0.25">
      <c r="A55" s="44"/>
    </row>
    <row r="56" spans="1:7" ht="15.75" hidden="1" thickBot="1" x14ac:dyDescent="0.3">
      <c r="A56" s="4" t="s">
        <v>3</v>
      </c>
      <c r="B56" s="644">
        <v>2018</v>
      </c>
      <c r="C56" s="644"/>
    </row>
    <row r="57" spans="1:7" ht="15.75" hidden="1" thickBot="1" x14ac:dyDescent="0.3">
      <c r="A57" s="4" t="s">
        <v>3</v>
      </c>
      <c r="B57" s="9" t="s">
        <v>236</v>
      </c>
      <c r="C57" s="21" t="s">
        <v>237</v>
      </c>
    </row>
    <row r="58" spans="1:7" hidden="1" x14ac:dyDescent="0.25">
      <c r="A58" s="4" t="s">
        <v>3</v>
      </c>
      <c r="B58" s="68"/>
      <c r="C58" s="67"/>
    </row>
    <row r="59" spans="1:7" hidden="1" x14ac:dyDescent="0.25">
      <c r="A59" s="4" t="s">
        <v>238</v>
      </c>
      <c r="B59" s="68">
        <v>40714</v>
      </c>
      <c r="C59" s="67">
        <f>B59</f>
        <v>40714</v>
      </c>
    </row>
    <row r="60" spans="1:7" hidden="1" x14ac:dyDescent="0.25">
      <c r="A60" s="4" t="s">
        <v>239</v>
      </c>
      <c r="B60" s="68">
        <f>SUM('[4]PROV. DEZ 2018'!$C$58+'[4]PROV. DEZ 2018'!$C$62+'[4]PROV. DEZ 2018'!$C$64)/1000</f>
        <v>7457.0246999999999</v>
      </c>
      <c r="C60" s="67">
        <f>B60</f>
        <v>7457.0246999999999</v>
      </c>
    </row>
    <row r="61" spans="1:7" ht="15.75" hidden="1" thickBot="1" x14ac:dyDescent="0.3">
      <c r="A61" s="4" t="s">
        <v>240</v>
      </c>
      <c r="B61" s="165">
        <f>-SUM('[4]PROV. DEZ 2018'!$C$77)/1000</f>
        <v>-26630.004280571426</v>
      </c>
      <c r="C61" s="154">
        <f>B61</f>
        <v>-26630.004280571426</v>
      </c>
    </row>
    <row r="62" spans="1:7" hidden="1" x14ac:dyDescent="0.25">
      <c r="A62" s="31" t="s">
        <v>205</v>
      </c>
      <c r="B62" s="73">
        <f>SUM(B59:B61)</f>
        <v>21541.020419428576</v>
      </c>
      <c r="C62" s="73">
        <f>SUM(C59:C61)</f>
        <v>21541.020419428576</v>
      </c>
    </row>
    <row r="63" spans="1:7" hidden="1" x14ac:dyDescent="0.25">
      <c r="A63" s="4" t="s">
        <v>3</v>
      </c>
      <c r="B63" s="66"/>
      <c r="C63" s="32"/>
    </row>
    <row r="64" spans="1:7" hidden="1" x14ac:dyDescent="0.25">
      <c r="A64" s="4" t="s">
        <v>241</v>
      </c>
      <c r="B64" s="75">
        <v>0.25</v>
      </c>
      <c r="C64" s="76">
        <v>0.09</v>
      </c>
    </row>
    <row r="65" spans="1:8" hidden="1" x14ac:dyDescent="0.25">
      <c r="A65" s="4" t="s">
        <v>242</v>
      </c>
      <c r="B65" s="68">
        <f>SUM(B62*15%)</f>
        <v>3231.1530629142862</v>
      </c>
      <c r="C65" s="68">
        <f>SUM(C62*C64)</f>
        <v>1938.6918377485717</v>
      </c>
    </row>
    <row r="66" spans="1:8" hidden="1" x14ac:dyDescent="0.25">
      <c r="A66" s="4" t="s">
        <v>243</v>
      </c>
      <c r="B66" s="121">
        <v>2130</v>
      </c>
      <c r="C66" s="124" t="s">
        <v>4</v>
      </c>
    </row>
    <row r="67" spans="1:8" ht="15.75" hidden="1" thickBot="1" x14ac:dyDescent="0.3">
      <c r="A67" s="4" t="s">
        <v>53</v>
      </c>
      <c r="B67" s="70">
        <v>78</v>
      </c>
      <c r="C67" s="55" t="s">
        <v>4</v>
      </c>
    </row>
    <row r="68" spans="1:8" ht="15.75" hidden="1" thickBot="1" x14ac:dyDescent="0.3">
      <c r="A68" s="3" t="s">
        <v>244</v>
      </c>
      <c r="B68" s="74">
        <f>SUM(B65:B67)</f>
        <v>5439.1530629142862</v>
      </c>
      <c r="C68" s="74">
        <f>SUM(C65:C66)</f>
        <v>1938.6918377485717</v>
      </c>
    </row>
    <row r="69" spans="1:8" x14ac:dyDescent="0.25">
      <c r="A69" s="146"/>
      <c r="B69" s="166"/>
      <c r="C69" s="166"/>
    </row>
    <row r="70" spans="1:8" x14ac:dyDescent="0.25">
      <c r="A70" s="2" t="s">
        <v>251</v>
      </c>
      <c r="B70" s="58"/>
      <c r="C70" s="77"/>
      <c r="D70" s="77"/>
    </row>
    <row r="71" spans="1:8" x14ac:dyDescent="0.25">
      <c r="A71" s="44"/>
    </row>
    <row r="72" spans="1:8" ht="15.75" thickBot="1" x14ac:dyDescent="0.3">
      <c r="A72" s="9" t="s">
        <v>245</v>
      </c>
      <c r="B72" s="9">
        <v>2019</v>
      </c>
      <c r="C72" s="21">
        <v>2019</v>
      </c>
    </row>
    <row r="73" spans="1:8" x14ac:dyDescent="0.25">
      <c r="A73" s="4" t="s">
        <v>3</v>
      </c>
      <c r="B73" s="66"/>
      <c r="C73" s="28"/>
    </row>
    <row r="74" spans="1:8" x14ac:dyDescent="0.25">
      <c r="A74" s="4" t="s">
        <v>2258</v>
      </c>
      <c r="B74" s="68"/>
      <c r="C74" s="68">
        <v>244</v>
      </c>
    </row>
    <row r="75" spans="1:8" x14ac:dyDescent="0.25">
      <c r="A75" s="4" t="s">
        <v>246</v>
      </c>
      <c r="B75" s="121"/>
      <c r="C75" s="121">
        <v>7576</v>
      </c>
    </row>
    <row r="76" spans="1:8" ht="15.75" thickBot="1" x14ac:dyDescent="0.3">
      <c r="A76" s="4" t="s">
        <v>247</v>
      </c>
      <c r="B76" s="70"/>
      <c r="C76" s="70">
        <v>33517</v>
      </c>
    </row>
    <row r="77" spans="1:8" ht="15.75" thickBot="1" x14ac:dyDescent="0.3">
      <c r="A77" s="31" t="s">
        <v>248</v>
      </c>
      <c r="B77" s="63">
        <f>SUM(B74:B76)</f>
        <v>0</v>
      </c>
      <c r="C77" s="63">
        <v>41337</v>
      </c>
      <c r="H77" s="85"/>
    </row>
    <row r="78" spans="1:8" ht="15.75" thickTop="1" x14ac:dyDescent="0.25">
      <c r="A78" s="4" t="s">
        <v>3</v>
      </c>
      <c r="B78" s="53"/>
      <c r="C78" s="18"/>
    </row>
    <row r="79" spans="1:8" ht="15.75" thickBot="1" x14ac:dyDescent="0.3">
      <c r="A79" s="4" t="s">
        <v>241</v>
      </c>
      <c r="B79" s="78">
        <f>C79</f>
        <v>0.34</v>
      </c>
      <c r="C79" s="78">
        <v>0.34</v>
      </c>
    </row>
    <row r="80" spans="1:8" ht="15.75" thickBot="1" x14ac:dyDescent="0.3">
      <c r="A80" s="4" t="s">
        <v>249</v>
      </c>
      <c r="B80" s="70">
        <f>SUM(B77*B79)</f>
        <v>0</v>
      </c>
      <c r="C80" s="70">
        <v>14054.580000000002</v>
      </c>
    </row>
    <row r="81" spans="1:3" ht="15.75" thickBot="1" x14ac:dyDescent="0.3">
      <c r="A81" s="4" t="s">
        <v>250</v>
      </c>
      <c r="B81" s="63"/>
      <c r="C81" s="63">
        <v>806.08490299999994</v>
      </c>
    </row>
    <row r="82" spans="1:3" ht="15.75" thickTop="1" x14ac:dyDescent="0.25"/>
  </sheetData>
  <mergeCells count="3">
    <mergeCell ref="B56:C56"/>
    <mergeCell ref="B42:C42"/>
    <mergeCell ref="B9:C9"/>
  </mergeCells>
  <pageMargins left="0.511811024" right="0.511811024" top="0.78740157499999996" bottom="0.78740157499999996" header="0.31496062000000002" footer="0.31496062000000002"/>
  <pageSetup paperSize="9" scale="78" orientation="landscape" r:id="rId1"/>
  <rowBreaks count="1" manualBreakCount="1">
    <brk id="40"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C13"/>
  <sheetViews>
    <sheetView workbookViewId="0">
      <selection activeCell="G18" sqref="G18"/>
    </sheetView>
  </sheetViews>
  <sheetFormatPr defaultRowHeight="15" x14ac:dyDescent="0.25"/>
  <cols>
    <col min="1" max="1" width="45.5703125" customWidth="1"/>
    <col min="2" max="2" width="12.28515625" customWidth="1"/>
    <col min="3" max="3" width="13" customWidth="1"/>
    <col min="4" max="4" width="12.5703125" customWidth="1"/>
    <col min="5" max="5" width="13.5703125" customWidth="1"/>
    <col min="6" max="6" width="11.42578125" customWidth="1"/>
  </cols>
  <sheetData>
    <row r="1" spans="1:3" x14ac:dyDescent="0.25">
      <c r="A1" s="1" t="s">
        <v>105</v>
      </c>
    </row>
    <row r="2" spans="1:3" x14ac:dyDescent="0.25">
      <c r="A2" s="1" t="s">
        <v>2749</v>
      </c>
    </row>
    <row r="3" spans="1:3" x14ac:dyDescent="0.25">
      <c r="A3" s="1" t="s">
        <v>0</v>
      </c>
    </row>
    <row r="4" spans="1:3" x14ac:dyDescent="0.25">
      <c r="A4" s="2"/>
    </row>
    <row r="5" spans="1:3" x14ac:dyDescent="0.25">
      <c r="A5" s="27" t="s">
        <v>2588</v>
      </c>
    </row>
    <row r="7" spans="1:3" x14ac:dyDescent="0.25">
      <c r="A7" s="79"/>
    </row>
    <row r="8" spans="1:3" ht="15.75" thickBot="1" x14ac:dyDescent="0.3">
      <c r="A8" s="3" t="s">
        <v>3</v>
      </c>
      <c r="B8" s="21">
        <v>2020</v>
      </c>
      <c r="C8" s="9">
        <v>2019</v>
      </c>
    </row>
    <row r="9" spans="1:3" x14ac:dyDescent="0.25">
      <c r="A9" s="146"/>
      <c r="B9" s="144"/>
      <c r="C9" s="16"/>
    </row>
    <row r="10" spans="1:3" x14ac:dyDescent="0.25">
      <c r="A10" s="3" t="s">
        <v>2577</v>
      </c>
      <c r="B10" s="6">
        <f>SUM('BALANCETE 12-2020'!G29)/1000</f>
        <v>231542.36971</v>
      </c>
      <c r="C10" s="168">
        <v>192877.77544</v>
      </c>
    </row>
    <row r="11" spans="1:3" ht="15.75" thickBot="1" x14ac:dyDescent="0.3">
      <c r="A11" s="3" t="s">
        <v>252</v>
      </c>
      <c r="B11" s="34">
        <f>SUM('BALANCETE 12-2020'!G39)/1000</f>
        <v>177.66020999999998</v>
      </c>
      <c r="C11" s="34">
        <v>124.25335000000001</v>
      </c>
    </row>
    <row r="12" spans="1:3" ht="15.75" thickBot="1" x14ac:dyDescent="0.3">
      <c r="A12" s="29" t="s">
        <v>3</v>
      </c>
      <c r="B12" s="62">
        <f>SUM(B10:B11)</f>
        <v>231720.02992</v>
      </c>
      <c r="C12" s="62">
        <v>193002.02879000001</v>
      </c>
    </row>
    <row r="13" spans="1:3" ht="15.75" thickTop="1" x14ac:dyDescent="0.25"/>
  </sheetData>
  <pageMargins left="0.511811024" right="0.511811024" top="0.78740157499999996" bottom="0.78740157499999996" header="0.31496062000000002" footer="0.31496062000000002"/>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P61"/>
  <sheetViews>
    <sheetView zoomScaleNormal="100" workbookViewId="0">
      <selection activeCell="D32" sqref="D32"/>
    </sheetView>
  </sheetViews>
  <sheetFormatPr defaultRowHeight="12" x14ac:dyDescent="0.2"/>
  <cols>
    <col min="1" max="1" width="71.85546875" style="557" bestFit="1" customWidth="1"/>
    <col min="2" max="2" width="14.85546875" style="557" bestFit="1" customWidth="1"/>
    <col min="3" max="3" width="15.85546875" style="557" bestFit="1" customWidth="1"/>
    <col min="4" max="4" width="16.5703125" style="557" bestFit="1" customWidth="1"/>
    <col min="5" max="5" width="23.7109375" style="557" bestFit="1" customWidth="1"/>
    <col min="6" max="6" width="19.7109375" style="557" bestFit="1" customWidth="1"/>
    <col min="7" max="7" width="9.42578125" style="557" bestFit="1" customWidth="1"/>
    <col min="8" max="16384" width="9.140625" style="557"/>
  </cols>
  <sheetData>
    <row r="1" spans="1:16" s="547" customFormat="1" ht="15" x14ac:dyDescent="0.2">
      <c r="A1" s="487" t="s">
        <v>259</v>
      </c>
      <c r="B1" s="546"/>
      <c r="C1" s="546"/>
      <c r="D1" s="546"/>
      <c r="E1" s="546"/>
      <c r="F1" s="546"/>
      <c r="G1" s="546"/>
      <c r="H1" s="546"/>
      <c r="I1" s="546"/>
      <c r="J1" s="546"/>
      <c r="K1" s="546"/>
      <c r="L1" s="546"/>
      <c r="M1" s="546"/>
      <c r="N1" s="546"/>
      <c r="O1" s="546"/>
      <c r="P1" s="546"/>
    </row>
    <row r="2" spans="1:16" s="547" customFormat="1" ht="15" x14ac:dyDescent="0.2">
      <c r="A2" s="487" t="s">
        <v>2747</v>
      </c>
      <c r="B2" s="546"/>
      <c r="C2" s="546"/>
      <c r="D2" s="546"/>
      <c r="E2" s="546"/>
      <c r="F2" s="546"/>
      <c r="G2" s="546"/>
      <c r="H2" s="546"/>
      <c r="I2" s="546"/>
      <c r="J2" s="546"/>
      <c r="K2" s="546"/>
      <c r="L2" s="546"/>
      <c r="M2" s="546"/>
      <c r="N2" s="546"/>
      <c r="O2" s="546"/>
      <c r="P2" s="546"/>
    </row>
    <row r="3" spans="1:16" s="547" customFormat="1" ht="14.25" x14ac:dyDescent="0.2">
      <c r="A3" s="488" t="s">
        <v>0</v>
      </c>
      <c r="B3" s="546"/>
      <c r="C3" s="546"/>
      <c r="D3" s="546"/>
      <c r="E3" s="546"/>
      <c r="F3" s="546"/>
      <c r="G3" s="546"/>
      <c r="H3" s="546"/>
      <c r="I3" s="546"/>
      <c r="J3" s="546"/>
      <c r="K3" s="546"/>
      <c r="L3" s="546"/>
      <c r="M3" s="546"/>
      <c r="N3" s="546"/>
      <c r="O3" s="546"/>
      <c r="P3" s="546"/>
    </row>
    <row r="4" spans="1:16" s="558" customFormat="1" x14ac:dyDescent="0.2">
      <c r="A4" s="481"/>
      <c r="B4" s="557"/>
      <c r="C4" s="557"/>
      <c r="D4" s="557"/>
      <c r="E4" s="557"/>
      <c r="F4" s="557"/>
      <c r="G4" s="557"/>
      <c r="H4" s="557"/>
      <c r="I4" s="557"/>
      <c r="J4" s="557"/>
      <c r="K4" s="557"/>
      <c r="L4" s="557"/>
      <c r="M4" s="557"/>
      <c r="N4" s="557"/>
      <c r="O4" s="557"/>
      <c r="P4" s="557"/>
    </row>
    <row r="5" spans="1:16" s="558" customFormat="1" x14ac:dyDescent="0.2">
      <c r="A5" s="481"/>
      <c r="B5" s="557"/>
      <c r="C5" s="557"/>
      <c r="D5" s="557"/>
      <c r="E5" s="557"/>
      <c r="F5" s="557"/>
      <c r="G5" s="557"/>
      <c r="H5" s="557"/>
      <c r="I5" s="557"/>
      <c r="J5" s="557"/>
      <c r="K5" s="557"/>
      <c r="L5" s="557"/>
      <c r="M5" s="557"/>
      <c r="N5" s="557"/>
      <c r="O5" s="557"/>
      <c r="P5" s="557"/>
    </row>
    <row r="6" spans="1:16" s="558" customFormat="1" ht="12.75" thickBot="1" x14ac:dyDescent="0.25">
      <c r="A6" s="481"/>
      <c r="B6" s="557"/>
      <c r="C6" s="626" t="s">
        <v>15</v>
      </c>
      <c r="D6" s="626"/>
      <c r="E6" s="557"/>
      <c r="F6" s="557"/>
      <c r="G6" s="557"/>
      <c r="H6" s="557"/>
      <c r="I6" s="557"/>
      <c r="J6" s="557"/>
      <c r="K6" s="557"/>
      <c r="L6" s="557"/>
      <c r="M6" s="557"/>
      <c r="N6" s="557"/>
      <c r="O6" s="557"/>
      <c r="P6" s="557"/>
    </row>
    <row r="7" spans="1:16" s="558" customFormat="1" ht="12.75" thickBot="1" x14ac:dyDescent="0.25">
      <c r="A7" s="481" t="s">
        <v>3</v>
      </c>
      <c r="B7" s="489" t="s">
        <v>37</v>
      </c>
      <c r="C7" s="489" t="s">
        <v>38</v>
      </c>
      <c r="D7" s="489" t="s">
        <v>39</v>
      </c>
      <c r="E7" s="489" t="s">
        <v>2741</v>
      </c>
      <c r="F7" s="489" t="s">
        <v>40</v>
      </c>
      <c r="G7" s="489" t="s">
        <v>41</v>
      </c>
      <c r="H7" s="557"/>
      <c r="I7" s="557"/>
      <c r="J7" s="557"/>
      <c r="K7" s="557"/>
      <c r="L7" s="557"/>
      <c r="M7" s="557"/>
      <c r="N7" s="557"/>
      <c r="O7" s="557"/>
      <c r="P7" s="557"/>
    </row>
    <row r="8" spans="1:16" s="558" customFormat="1" ht="12.75" thickBot="1" x14ac:dyDescent="0.25">
      <c r="A8" s="481"/>
      <c r="B8" s="481"/>
      <c r="C8" s="490"/>
      <c r="D8" s="485"/>
      <c r="E8" s="557"/>
      <c r="F8" s="557"/>
      <c r="G8" s="557"/>
      <c r="H8" s="557"/>
      <c r="I8" s="557"/>
      <c r="J8" s="557"/>
      <c r="K8" s="557"/>
      <c r="L8" s="557"/>
      <c r="M8" s="557"/>
      <c r="N8" s="557"/>
      <c r="O8" s="557"/>
      <c r="P8" s="557"/>
    </row>
    <row r="9" spans="1:16" s="558" customFormat="1" ht="12.75" hidden="1" thickBot="1" x14ac:dyDescent="0.25">
      <c r="A9" s="481" t="s">
        <v>43</v>
      </c>
      <c r="B9" s="491">
        <v>247250</v>
      </c>
      <c r="C9" s="491">
        <v>7338</v>
      </c>
      <c r="D9" s="491">
        <v>34147</v>
      </c>
      <c r="E9" s="492">
        <v>8855</v>
      </c>
      <c r="F9" s="493" t="s">
        <v>4</v>
      </c>
      <c r="G9" s="491">
        <v>297590</v>
      </c>
      <c r="H9" s="557"/>
      <c r="I9" s="557"/>
      <c r="J9" s="557"/>
      <c r="K9" s="557"/>
      <c r="L9" s="557"/>
      <c r="M9" s="557"/>
      <c r="N9" s="557"/>
      <c r="O9" s="557"/>
      <c r="P9" s="557"/>
    </row>
    <row r="10" spans="1:16" s="558" customFormat="1" ht="12.75" hidden="1" thickBot="1" x14ac:dyDescent="0.25">
      <c r="A10" s="481" t="s">
        <v>3</v>
      </c>
      <c r="B10" s="494"/>
      <c r="C10" s="495"/>
      <c r="D10" s="495"/>
      <c r="E10" s="496"/>
      <c r="F10" s="495"/>
      <c r="G10" s="495"/>
      <c r="H10" s="557"/>
      <c r="I10" s="557"/>
      <c r="J10" s="557"/>
      <c r="K10" s="557"/>
      <c r="L10" s="557"/>
      <c r="M10" s="557"/>
      <c r="N10" s="557"/>
      <c r="O10" s="557"/>
      <c r="P10" s="557"/>
    </row>
    <row r="11" spans="1:16" s="558" customFormat="1" ht="12.75" hidden="1" thickBot="1" x14ac:dyDescent="0.25">
      <c r="A11" s="481" t="s">
        <v>253</v>
      </c>
      <c r="B11" s="494" t="s">
        <v>4</v>
      </c>
      <c r="C11" s="495" t="s">
        <v>4</v>
      </c>
      <c r="D11" s="485">
        <v>-4416</v>
      </c>
      <c r="E11" s="496" t="s">
        <v>4</v>
      </c>
      <c r="F11" s="495" t="s">
        <v>4</v>
      </c>
      <c r="G11" s="485">
        <v>-4416</v>
      </c>
      <c r="H11" s="557"/>
      <c r="I11" s="557"/>
      <c r="J11" s="557"/>
      <c r="K11" s="557"/>
      <c r="L11" s="557"/>
      <c r="M11" s="557"/>
      <c r="N11" s="557"/>
      <c r="O11" s="557"/>
      <c r="P11" s="557"/>
    </row>
    <row r="12" spans="1:16" s="558" customFormat="1" ht="12.75" hidden="1" thickBot="1" x14ac:dyDescent="0.25">
      <c r="A12" s="481" t="s">
        <v>26</v>
      </c>
      <c r="B12" s="494" t="s">
        <v>4</v>
      </c>
      <c r="C12" s="495" t="s">
        <v>4</v>
      </c>
      <c r="D12" s="495" t="s">
        <v>4</v>
      </c>
      <c r="E12" s="496" t="s">
        <v>4</v>
      </c>
      <c r="F12" s="485">
        <v>44808</v>
      </c>
      <c r="G12" s="485">
        <v>44808</v>
      </c>
      <c r="H12" s="557"/>
      <c r="I12" s="557"/>
      <c r="J12" s="557"/>
      <c r="K12" s="557"/>
      <c r="L12" s="557"/>
      <c r="M12" s="557"/>
      <c r="N12" s="557"/>
      <c r="O12" s="557"/>
      <c r="P12" s="557"/>
    </row>
    <row r="13" spans="1:16" s="558" customFormat="1" ht="12.75" hidden="1" thickBot="1" x14ac:dyDescent="0.25">
      <c r="A13" s="481" t="s">
        <v>44</v>
      </c>
      <c r="B13" s="494"/>
      <c r="C13" s="495"/>
      <c r="D13" s="495"/>
      <c r="E13" s="496"/>
      <c r="F13" s="495"/>
      <c r="G13" s="495"/>
      <c r="H13" s="557"/>
      <c r="I13" s="557"/>
      <c r="J13" s="557"/>
      <c r="K13" s="557"/>
      <c r="L13" s="557"/>
      <c r="M13" s="557"/>
      <c r="N13" s="557"/>
      <c r="O13" s="557"/>
      <c r="P13" s="557"/>
    </row>
    <row r="14" spans="1:16" s="558" customFormat="1" ht="12.75" hidden="1" thickBot="1" x14ac:dyDescent="0.25">
      <c r="A14" s="481" t="s">
        <v>254</v>
      </c>
      <c r="B14" s="494" t="s">
        <v>4</v>
      </c>
      <c r="C14" s="485">
        <v>2240</v>
      </c>
      <c r="D14" s="495" t="s">
        <v>4</v>
      </c>
      <c r="E14" s="496" t="s">
        <v>4</v>
      </c>
      <c r="F14" s="485">
        <v>-2240</v>
      </c>
      <c r="G14" s="495" t="s">
        <v>4</v>
      </c>
      <c r="H14" s="557"/>
      <c r="I14" s="557"/>
      <c r="J14" s="557"/>
      <c r="K14" s="557"/>
      <c r="L14" s="557"/>
      <c r="M14" s="557"/>
      <c r="N14" s="557"/>
      <c r="O14" s="557"/>
      <c r="P14" s="557"/>
    </row>
    <row r="15" spans="1:16" s="558" customFormat="1" ht="12.75" hidden="1" thickBot="1" x14ac:dyDescent="0.25">
      <c r="A15" s="481" t="s">
        <v>2739</v>
      </c>
      <c r="B15" s="494" t="s">
        <v>4</v>
      </c>
      <c r="C15" s="495" t="s">
        <v>4</v>
      </c>
      <c r="D15" s="495" t="s">
        <v>4</v>
      </c>
      <c r="E15" s="497">
        <v>-8855</v>
      </c>
      <c r="F15" s="485">
        <v>-1787</v>
      </c>
      <c r="G15" s="485">
        <v>-10642</v>
      </c>
      <c r="H15" s="557"/>
      <c r="I15" s="557"/>
      <c r="J15" s="557"/>
      <c r="K15" s="557"/>
      <c r="L15" s="557"/>
      <c r="M15" s="557"/>
      <c r="N15" s="557"/>
      <c r="O15" s="557"/>
      <c r="P15" s="557"/>
    </row>
    <row r="16" spans="1:16" s="558" customFormat="1" ht="12.75" hidden="1" thickBot="1" x14ac:dyDescent="0.25">
      <c r="A16" s="481" t="s">
        <v>255</v>
      </c>
      <c r="B16" s="494"/>
      <c r="C16" s="495"/>
      <c r="D16" s="495" t="s">
        <v>4</v>
      </c>
      <c r="E16" s="496" t="s">
        <v>4</v>
      </c>
      <c r="F16" s="485">
        <v>-10642</v>
      </c>
      <c r="G16" s="485">
        <v>-10642</v>
      </c>
      <c r="H16" s="557"/>
      <c r="I16" s="557"/>
      <c r="J16" s="557"/>
      <c r="K16" s="557"/>
      <c r="L16" s="557"/>
      <c r="M16" s="557"/>
      <c r="N16" s="557"/>
      <c r="O16" s="557"/>
      <c r="P16" s="557"/>
    </row>
    <row r="17" spans="1:7" ht="12.75" hidden="1" thickBot="1" x14ac:dyDescent="0.25">
      <c r="A17" s="481" t="s">
        <v>256</v>
      </c>
      <c r="B17" s="494" t="s">
        <v>4</v>
      </c>
      <c r="C17" s="495" t="s">
        <v>4</v>
      </c>
      <c r="D17" s="485">
        <v>30139</v>
      </c>
      <c r="E17" s="496" t="s">
        <v>4</v>
      </c>
      <c r="F17" s="485">
        <v>-30139</v>
      </c>
      <c r="G17" s="495" t="s">
        <v>4</v>
      </c>
    </row>
    <row r="18" spans="1:7" ht="12.75" hidden="1" thickBot="1" x14ac:dyDescent="0.25">
      <c r="A18" s="481" t="s">
        <v>257</v>
      </c>
      <c r="B18" s="494" t="s">
        <v>4</v>
      </c>
      <c r="C18" s="495" t="s">
        <v>4</v>
      </c>
      <c r="D18" s="495">
        <v>490</v>
      </c>
      <c r="E18" s="496" t="s">
        <v>4</v>
      </c>
      <c r="F18" s="495">
        <v>490</v>
      </c>
      <c r="G18" s="495">
        <v>490</v>
      </c>
    </row>
    <row r="19" spans="1:7" ht="12.75" hidden="1" thickBot="1" x14ac:dyDescent="0.25">
      <c r="A19" s="481" t="s">
        <v>3</v>
      </c>
      <c r="B19" s="498"/>
      <c r="C19" s="499"/>
      <c r="D19" s="499"/>
      <c r="E19" s="500"/>
      <c r="F19" s="499"/>
      <c r="G19" s="499"/>
    </row>
    <row r="20" spans="1:7" ht="12.75" thickBot="1" x14ac:dyDescent="0.25">
      <c r="A20" s="481" t="s">
        <v>42</v>
      </c>
      <c r="B20" s="501">
        <v>247250</v>
      </c>
      <c r="C20" s="501">
        <v>9578</v>
      </c>
      <c r="D20" s="501">
        <v>60362</v>
      </c>
      <c r="E20" s="502" t="s">
        <v>4</v>
      </c>
      <c r="F20" s="503" t="s">
        <v>4</v>
      </c>
      <c r="G20" s="501">
        <v>317190</v>
      </c>
    </row>
    <row r="21" spans="1:7" ht="12.75" thickTop="1" x14ac:dyDescent="0.2">
      <c r="A21" s="481"/>
      <c r="B21" s="481"/>
      <c r="C21" s="485"/>
      <c r="D21" s="485"/>
    </row>
    <row r="22" spans="1:7" x14ac:dyDescent="0.2">
      <c r="A22" s="481" t="s">
        <v>4979</v>
      </c>
      <c r="B22" s="494" t="s">
        <v>4</v>
      </c>
      <c r="C22" s="494" t="s">
        <v>4</v>
      </c>
      <c r="D22" s="482">
        <v>-45245.340799999998</v>
      </c>
      <c r="E22" s="504" t="s">
        <v>4</v>
      </c>
      <c r="F22" s="495" t="s">
        <v>4</v>
      </c>
      <c r="G22" s="482">
        <v>-45245.340799999998</v>
      </c>
    </row>
    <row r="23" spans="1:7" x14ac:dyDescent="0.2">
      <c r="A23" s="481" t="s">
        <v>26</v>
      </c>
      <c r="B23" s="494" t="s">
        <v>4</v>
      </c>
      <c r="C23" s="494" t="s">
        <v>4</v>
      </c>
      <c r="D23" s="495"/>
      <c r="E23" s="496" t="s">
        <v>4</v>
      </c>
      <c r="F23" s="485">
        <v>30545.605269999993</v>
      </c>
      <c r="G23" s="485">
        <v>30545.605269999993</v>
      </c>
    </row>
    <row r="24" spans="1:7" x14ac:dyDescent="0.2">
      <c r="A24" s="481" t="s">
        <v>44</v>
      </c>
      <c r="B24" s="494"/>
      <c r="C24" s="494"/>
      <c r="D24" s="495"/>
      <c r="E24" s="496"/>
      <c r="F24" s="495"/>
      <c r="G24" s="496"/>
    </row>
    <row r="25" spans="1:7" x14ac:dyDescent="0.2">
      <c r="A25" s="481" t="s">
        <v>254</v>
      </c>
      <c r="B25" s="494" t="s">
        <v>4</v>
      </c>
      <c r="C25" s="485">
        <v>1527.2802634999998</v>
      </c>
      <c r="D25" s="495" t="s">
        <v>4</v>
      </c>
      <c r="E25" s="496" t="s">
        <v>4</v>
      </c>
      <c r="F25" s="482">
        <v>-1527.2802634999998</v>
      </c>
      <c r="G25" s="496" t="s">
        <v>4</v>
      </c>
    </row>
    <row r="26" spans="1:7" x14ac:dyDescent="0.2">
      <c r="A26" s="481" t="s">
        <v>255</v>
      </c>
      <c r="B26" s="494" t="s">
        <v>4</v>
      </c>
      <c r="C26" s="494" t="s">
        <v>4</v>
      </c>
      <c r="D26" s="495" t="s">
        <v>4</v>
      </c>
      <c r="E26" s="496" t="s">
        <v>4</v>
      </c>
      <c r="F26" s="482">
        <v>-7254.581251624998</v>
      </c>
      <c r="G26" s="482">
        <v>-7255</v>
      </c>
    </row>
    <row r="27" spans="1:7" x14ac:dyDescent="0.2">
      <c r="A27" s="481" t="s">
        <v>2739</v>
      </c>
      <c r="B27" s="494" t="s">
        <v>4</v>
      </c>
      <c r="C27" s="494" t="s">
        <v>4</v>
      </c>
      <c r="D27" s="485" t="s">
        <v>4</v>
      </c>
      <c r="E27" s="485">
        <v>2797</v>
      </c>
      <c r="F27" s="482">
        <v>-7254.581251624998</v>
      </c>
      <c r="G27" s="482">
        <v>-4458</v>
      </c>
    </row>
    <row r="28" spans="1:7" x14ac:dyDescent="0.2">
      <c r="A28" s="481" t="s">
        <v>256</v>
      </c>
      <c r="B28" s="494" t="s">
        <v>4</v>
      </c>
      <c r="C28" s="494" t="s">
        <v>4</v>
      </c>
      <c r="D28" s="485">
        <v>14509.162503249998</v>
      </c>
      <c r="E28" s="496" t="s">
        <v>4</v>
      </c>
      <c r="F28" s="482">
        <v>-14509.162503249998</v>
      </c>
      <c r="G28" s="496" t="s">
        <v>4</v>
      </c>
    </row>
    <row r="29" spans="1:7" x14ac:dyDescent="0.2">
      <c r="A29" s="481" t="s">
        <v>257</v>
      </c>
      <c r="B29" s="494" t="s">
        <v>4</v>
      </c>
      <c r="C29" s="494" t="s">
        <v>4</v>
      </c>
      <c r="D29" s="482">
        <v>-8.6402500000000018</v>
      </c>
      <c r="E29" s="496" t="s">
        <v>4</v>
      </c>
      <c r="F29" s="495" t="s">
        <v>4</v>
      </c>
      <c r="G29" s="482">
        <v>-8.6402500000000018</v>
      </c>
    </row>
    <row r="30" spans="1:7" ht="12.75" thickBot="1" x14ac:dyDescent="0.25">
      <c r="A30" s="481" t="s">
        <v>3</v>
      </c>
      <c r="B30" s="498"/>
      <c r="C30" s="499"/>
      <c r="D30" s="499"/>
      <c r="E30" s="500"/>
      <c r="F30" s="499"/>
      <c r="G30" s="499"/>
    </row>
    <row r="31" spans="1:7" ht="12.75" thickBot="1" x14ac:dyDescent="0.25">
      <c r="A31" s="481" t="s">
        <v>4980</v>
      </c>
      <c r="B31" s="501">
        <v>247250</v>
      </c>
      <c r="C31" s="501">
        <v>11105.280263500001</v>
      </c>
      <c r="D31" s="501">
        <v>29617.181453249999</v>
      </c>
      <c r="E31" s="505">
        <v>2796.9373599999999</v>
      </c>
      <c r="F31" s="503" t="s">
        <v>4</v>
      </c>
      <c r="G31" s="501">
        <v>290769.39907674998</v>
      </c>
    </row>
    <row r="32" spans="1:7" s="528" customFormat="1" ht="12.75" thickTop="1" x14ac:dyDescent="0.2">
      <c r="A32" s="559"/>
      <c r="B32" s="560"/>
      <c r="C32" s="560"/>
      <c r="D32" s="560"/>
      <c r="E32" s="560"/>
      <c r="F32" s="549"/>
      <c r="G32" s="506"/>
    </row>
    <row r="33" spans="1:7" x14ac:dyDescent="0.2">
      <c r="A33" s="481" t="s">
        <v>2702</v>
      </c>
      <c r="B33" s="485">
        <v>7181.2559199999996</v>
      </c>
      <c r="C33" s="561" t="s">
        <v>4</v>
      </c>
      <c r="D33" s="482">
        <v>-7181.2559199999996</v>
      </c>
      <c r="E33" s="561" t="s">
        <v>4</v>
      </c>
      <c r="F33" s="561" t="s">
        <v>4</v>
      </c>
      <c r="G33" s="561" t="s">
        <v>4</v>
      </c>
    </row>
    <row r="34" spans="1:7" x14ac:dyDescent="0.2">
      <c r="A34" s="481" t="s">
        <v>4979</v>
      </c>
      <c r="B34" s="494" t="s">
        <v>4</v>
      </c>
      <c r="C34" s="494" t="s">
        <v>4</v>
      </c>
      <c r="D34" s="482">
        <v>-15888.366649999998</v>
      </c>
      <c r="E34" s="482">
        <v>-2796.9373599999999</v>
      </c>
      <c r="F34" s="495" t="s">
        <v>4</v>
      </c>
      <c r="G34" s="482">
        <v>-18685.30401</v>
      </c>
    </row>
    <row r="35" spans="1:7" x14ac:dyDescent="0.2">
      <c r="A35" s="481" t="s">
        <v>26</v>
      </c>
      <c r="B35" s="494" t="s">
        <v>4</v>
      </c>
      <c r="C35" s="494" t="s">
        <v>4</v>
      </c>
      <c r="D35" s="495" t="s">
        <v>4</v>
      </c>
      <c r="E35" s="496" t="s">
        <v>4</v>
      </c>
      <c r="F35" s="485">
        <v>40106.396420000019</v>
      </c>
      <c r="G35" s="485">
        <v>40106.396420000019</v>
      </c>
    </row>
    <row r="36" spans="1:7" x14ac:dyDescent="0.2">
      <c r="A36" s="481" t="s">
        <v>44</v>
      </c>
      <c r="B36" s="494"/>
      <c r="C36" s="494"/>
      <c r="D36" s="495"/>
      <c r="E36" s="496"/>
      <c r="F36" s="495"/>
      <c r="G36" s="485"/>
    </row>
    <row r="37" spans="1:7" x14ac:dyDescent="0.2">
      <c r="A37" s="481" t="s">
        <v>254</v>
      </c>
      <c r="B37" s="494" t="s">
        <v>4</v>
      </c>
      <c r="C37" s="485">
        <v>2005.319821000001</v>
      </c>
      <c r="D37" s="495" t="s">
        <v>4</v>
      </c>
      <c r="E37" s="496" t="s">
        <v>4</v>
      </c>
      <c r="F37" s="482">
        <v>-2005.319821000001</v>
      </c>
      <c r="G37" s="485" t="s">
        <v>4</v>
      </c>
    </row>
    <row r="38" spans="1:7" x14ac:dyDescent="0.2">
      <c r="A38" s="481" t="s">
        <v>255</v>
      </c>
      <c r="B38" s="494" t="s">
        <v>4</v>
      </c>
      <c r="C38" s="494" t="s">
        <v>4</v>
      </c>
      <c r="D38" s="495" t="s">
        <v>4</v>
      </c>
      <c r="E38" s="497" t="s">
        <v>4</v>
      </c>
      <c r="F38" s="482">
        <v>-9525.2691497500055</v>
      </c>
      <c r="G38" s="482">
        <v>-9525.2691497500055</v>
      </c>
    </row>
    <row r="39" spans="1:7" x14ac:dyDescent="0.2">
      <c r="A39" s="481" t="s">
        <v>2739</v>
      </c>
      <c r="B39" s="494" t="s">
        <v>4</v>
      </c>
      <c r="C39" s="494" t="s">
        <v>4</v>
      </c>
      <c r="D39" s="485" t="s">
        <v>4</v>
      </c>
      <c r="E39" s="485">
        <v>5299.3445000000002</v>
      </c>
      <c r="F39" s="482">
        <v>-9525.2691497500055</v>
      </c>
      <c r="G39" s="482">
        <v>-4225.9246497500053</v>
      </c>
    </row>
    <row r="40" spans="1:7" ht="12.75" thickBot="1" x14ac:dyDescent="0.25">
      <c r="A40" s="481" t="s">
        <v>256</v>
      </c>
      <c r="B40" s="494" t="s">
        <v>4</v>
      </c>
      <c r="C40" s="494" t="s">
        <v>4</v>
      </c>
      <c r="D40" s="485">
        <v>19050.538299500011</v>
      </c>
      <c r="E40" s="496" t="s">
        <v>4</v>
      </c>
      <c r="F40" s="482">
        <v>-19050.538299500011</v>
      </c>
      <c r="G40" s="485" t="s">
        <v>4</v>
      </c>
    </row>
    <row r="41" spans="1:7" ht="12.75" thickBot="1" x14ac:dyDescent="0.25">
      <c r="A41" s="481" t="s">
        <v>4968</v>
      </c>
      <c r="B41" s="483">
        <v>254431.25592</v>
      </c>
      <c r="C41" s="483">
        <v>13109.600084500002</v>
      </c>
      <c r="D41" s="483">
        <v>25599.097182750011</v>
      </c>
      <c r="E41" s="484">
        <v>5299.3445000000002</v>
      </c>
      <c r="F41" s="483" t="s">
        <v>4</v>
      </c>
      <c r="G41" s="507">
        <v>298439.29768724996</v>
      </c>
    </row>
    <row r="42" spans="1:7" s="528" customFormat="1" ht="12.75" thickTop="1" x14ac:dyDescent="0.2">
      <c r="A42" s="559"/>
      <c r="B42" s="560"/>
      <c r="C42" s="560"/>
      <c r="D42" s="560"/>
      <c r="E42" s="560"/>
      <c r="F42" s="549"/>
      <c r="G42" s="506"/>
    </row>
    <row r="43" spans="1:7" x14ac:dyDescent="0.2">
      <c r="A43" s="481" t="s">
        <v>2702</v>
      </c>
      <c r="B43" s="494" t="s">
        <v>4</v>
      </c>
      <c r="C43" s="561" t="s">
        <v>4</v>
      </c>
      <c r="D43" s="561" t="s">
        <v>4</v>
      </c>
      <c r="E43" s="561" t="s">
        <v>4</v>
      </c>
      <c r="F43" s="561" t="s">
        <v>4</v>
      </c>
      <c r="G43" s="561" t="s">
        <v>4</v>
      </c>
    </row>
    <row r="44" spans="1:7" x14ac:dyDescent="0.2">
      <c r="A44" s="481" t="s">
        <v>4979</v>
      </c>
      <c r="B44" s="561" t="s">
        <v>4</v>
      </c>
      <c r="C44" s="561" t="s">
        <v>4</v>
      </c>
      <c r="D44" s="482">
        <v>-9622.9179000000004</v>
      </c>
      <c r="E44" s="482">
        <v>-5299.3445000000002</v>
      </c>
      <c r="F44" s="561" t="s">
        <v>4</v>
      </c>
      <c r="G44" s="482">
        <v>-14922.2624</v>
      </c>
    </row>
    <row r="45" spans="1:7" x14ac:dyDescent="0.2">
      <c r="A45" s="481" t="s">
        <v>26</v>
      </c>
      <c r="B45" s="485" t="s">
        <v>4</v>
      </c>
      <c r="C45" s="485" t="s">
        <v>4</v>
      </c>
      <c r="D45" s="485" t="s">
        <v>4</v>
      </c>
      <c r="E45" s="485" t="s">
        <v>4</v>
      </c>
      <c r="F45" s="485">
        <v>30486.861270000005</v>
      </c>
      <c r="G45" s="485">
        <v>30486.861270000005</v>
      </c>
    </row>
    <row r="46" spans="1:7" x14ac:dyDescent="0.2">
      <c r="A46" s="481" t="s">
        <v>44</v>
      </c>
      <c r="B46" s="485"/>
      <c r="C46" s="485"/>
      <c r="D46" s="485"/>
      <c r="E46" s="485" t="s">
        <v>4</v>
      </c>
      <c r="F46" s="485"/>
      <c r="G46" s="485"/>
    </row>
    <row r="47" spans="1:7" x14ac:dyDescent="0.2">
      <c r="A47" s="481" t="s">
        <v>254</v>
      </c>
      <c r="B47" s="485" t="s">
        <v>4</v>
      </c>
      <c r="C47" s="485">
        <v>1524.3430635000004</v>
      </c>
      <c r="D47" s="485" t="s">
        <v>4</v>
      </c>
      <c r="E47" s="485" t="s">
        <v>4</v>
      </c>
      <c r="F47" s="482">
        <v>-1524.3430635000004</v>
      </c>
      <c r="G47" s="482" t="s">
        <v>4</v>
      </c>
    </row>
    <row r="48" spans="1:7" x14ac:dyDescent="0.2">
      <c r="A48" s="481" t="s">
        <v>255</v>
      </c>
      <c r="B48" s="485" t="s">
        <v>4</v>
      </c>
      <c r="C48" s="485" t="s">
        <v>4</v>
      </c>
      <c r="D48" s="485" t="s">
        <v>4</v>
      </c>
      <c r="E48" s="485" t="s">
        <v>4</v>
      </c>
      <c r="F48" s="482">
        <v>-7240.6295516250011</v>
      </c>
      <c r="G48" s="482">
        <v>-7241</v>
      </c>
    </row>
    <row r="49" spans="1:7" x14ac:dyDescent="0.2">
      <c r="A49" s="481" t="s">
        <v>2739</v>
      </c>
      <c r="B49" s="485" t="s">
        <v>4</v>
      </c>
      <c r="C49" s="485" t="s">
        <v>4</v>
      </c>
      <c r="D49" s="485" t="s">
        <v>4</v>
      </c>
      <c r="E49" s="485">
        <v>3619</v>
      </c>
      <c r="F49" s="482">
        <v>-7240.6295516250011</v>
      </c>
      <c r="G49" s="482">
        <v>-3622</v>
      </c>
    </row>
    <row r="50" spans="1:7" x14ac:dyDescent="0.2">
      <c r="A50" s="481" t="s">
        <v>256</v>
      </c>
      <c r="B50" s="485" t="s">
        <v>4</v>
      </c>
      <c r="C50" s="485" t="s">
        <v>4</v>
      </c>
      <c r="D50" s="485">
        <v>14481.25910325</v>
      </c>
      <c r="E50" s="485" t="s">
        <v>4</v>
      </c>
      <c r="F50" s="482">
        <v>-14481.25910325</v>
      </c>
      <c r="G50" s="482" t="s">
        <v>4</v>
      </c>
    </row>
    <row r="51" spans="1:7" ht="12.75" thickBot="1" x14ac:dyDescent="0.25">
      <c r="A51" s="481" t="s">
        <v>257</v>
      </c>
      <c r="B51" s="485" t="s">
        <v>4</v>
      </c>
      <c r="C51" s="485" t="s">
        <v>4</v>
      </c>
      <c r="D51" s="485">
        <v>6.4103899999999996</v>
      </c>
      <c r="E51" s="485" t="s">
        <v>4</v>
      </c>
      <c r="F51" s="485" t="s">
        <v>4</v>
      </c>
      <c r="G51" s="485">
        <v>6.4103899999999996</v>
      </c>
    </row>
    <row r="52" spans="1:7" ht="12.75" thickBot="1" x14ac:dyDescent="0.25">
      <c r="A52" s="481" t="s">
        <v>2748</v>
      </c>
      <c r="B52" s="483">
        <v>254431.25592</v>
      </c>
      <c r="C52" s="483">
        <v>14634</v>
      </c>
      <c r="D52" s="483">
        <v>30462.84877600001</v>
      </c>
      <c r="E52" s="484">
        <v>3618.9558299999994</v>
      </c>
      <c r="F52" s="483" t="s">
        <v>4</v>
      </c>
      <c r="G52" s="486">
        <v>303147.00367399992</v>
      </c>
    </row>
    <row r="53" spans="1:7" ht="12.75" thickTop="1" x14ac:dyDescent="0.2">
      <c r="G53" s="562"/>
    </row>
    <row r="54" spans="1:7" x14ac:dyDescent="0.2">
      <c r="G54" s="528"/>
    </row>
    <row r="55" spans="1:7" x14ac:dyDescent="0.2">
      <c r="D55" s="563"/>
      <c r="G55" s="551"/>
    </row>
    <row r="56" spans="1:7" x14ac:dyDescent="0.2">
      <c r="C56" s="563"/>
      <c r="D56" s="563"/>
    </row>
    <row r="57" spans="1:7" x14ac:dyDescent="0.2">
      <c r="D57" s="564"/>
    </row>
    <row r="58" spans="1:7" x14ac:dyDescent="0.2">
      <c r="D58" s="563"/>
    </row>
    <row r="59" spans="1:7" x14ac:dyDescent="0.2">
      <c r="D59" s="563"/>
    </row>
    <row r="61" spans="1:7" x14ac:dyDescent="0.2">
      <c r="D61" s="563"/>
    </row>
  </sheetData>
  <mergeCells count="1">
    <mergeCell ref="C6:D6"/>
  </mergeCells>
  <pageMargins left="0.511811024" right="0.511811024" top="0.78740157499999996" bottom="0.78740157499999996" header="0.31496062000000002" footer="0.31496062000000002"/>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C54"/>
  <sheetViews>
    <sheetView topLeftCell="A3" zoomScaleNormal="100" workbookViewId="0">
      <selection activeCell="E24" sqref="E24"/>
    </sheetView>
  </sheetViews>
  <sheetFormatPr defaultRowHeight="12" x14ac:dyDescent="0.2"/>
  <cols>
    <col min="1" max="1" width="71.85546875" style="513" customWidth="1"/>
    <col min="2" max="2" width="16.140625" style="513" customWidth="1"/>
    <col min="3" max="3" width="15.140625" style="513" customWidth="1"/>
    <col min="4" max="16384" width="9.140625" style="513"/>
  </cols>
  <sheetData>
    <row r="1" spans="1:3" s="87" customFormat="1" ht="15" x14ac:dyDescent="0.2">
      <c r="A1" s="479" t="s">
        <v>260</v>
      </c>
    </row>
    <row r="2" spans="1:3" s="87" customFormat="1" ht="15" x14ac:dyDescent="0.2">
      <c r="A2" s="479" t="s">
        <v>2747</v>
      </c>
    </row>
    <row r="3" spans="1:3" s="87" customFormat="1" ht="14.25" x14ac:dyDescent="0.2">
      <c r="A3" s="508" t="s">
        <v>0</v>
      </c>
    </row>
    <row r="4" spans="1:3" x14ac:dyDescent="0.2">
      <c r="A4" s="132"/>
    </row>
    <row r="5" spans="1:3" x14ac:dyDescent="0.2">
      <c r="A5" s="132"/>
    </row>
    <row r="6" spans="1:3" ht="12.75" thickBot="1" x14ac:dyDescent="0.25">
      <c r="A6" s="132"/>
      <c r="B6" s="129">
        <v>2020</v>
      </c>
      <c r="C6" s="129">
        <v>2019</v>
      </c>
    </row>
    <row r="7" spans="1:3" x14ac:dyDescent="0.2">
      <c r="A7" s="132"/>
      <c r="B7" s="130"/>
      <c r="C7" s="131" t="s">
        <v>3056</v>
      </c>
    </row>
    <row r="8" spans="1:3" x14ac:dyDescent="0.2">
      <c r="A8" s="298" t="s">
        <v>45</v>
      </c>
      <c r="B8" s="298"/>
      <c r="C8" s="298"/>
    </row>
    <row r="9" spans="1:3" x14ac:dyDescent="0.2">
      <c r="A9" s="298" t="s">
        <v>26</v>
      </c>
      <c r="B9" s="298">
        <v>30486.861270000005</v>
      </c>
      <c r="C9" s="298">
        <v>40106</v>
      </c>
    </row>
    <row r="10" spans="1:3" ht="15" customHeight="1" x14ac:dyDescent="0.2">
      <c r="A10" s="298" t="s">
        <v>46</v>
      </c>
      <c r="B10" s="298"/>
      <c r="C10" s="298"/>
    </row>
    <row r="11" spans="1:3" ht="13.5" customHeight="1" x14ac:dyDescent="0.2">
      <c r="A11" s="298" t="s">
        <v>4981</v>
      </c>
      <c r="B11" s="298">
        <v>27955</v>
      </c>
      <c r="C11" s="298">
        <v>-6749.8118799999938</v>
      </c>
    </row>
    <row r="12" spans="1:3" x14ac:dyDescent="0.2">
      <c r="A12" s="298" t="s">
        <v>4982</v>
      </c>
      <c r="B12" s="298">
        <v>-6656.2057999999997</v>
      </c>
      <c r="C12" s="298">
        <v>-712</v>
      </c>
    </row>
    <row r="13" spans="1:3" x14ac:dyDescent="0.2">
      <c r="A13" s="298" t="s">
        <v>4983</v>
      </c>
      <c r="B13" s="298">
        <v>9.9603799999999989</v>
      </c>
      <c r="C13" s="298">
        <v>582.66452000000004</v>
      </c>
    </row>
    <row r="14" spans="1:3" x14ac:dyDescent="0.2">
      <c r="A14" s="298" t="s">
        <v>25</v>
      </c>
      <c r="B14" s="298">
        <v>853.28695999999991</v>
      </c>
      <c r="C14" s="298">
        <v>806.08491000000004</v>
      </c>
    </row>
    <row r="15" spans="1:3" x14ac:dyDescent="0.2">
      <c r="A15" s="298" t="s">
        <v>4984</v>
      </c>
      <c r="B15" s="509">
        <v>11365</v>
      </c>
      <c r="C15" s="509">
        <v>7339</v>
      </c>
    </row>
    <row r="16" spans="1:3" x14ac:dyDescent="0.2">
      <c r="A16" s="298"/>
      <c r="B16" s="510">
        <v>64014</v>
      </c>
      <c r="C16" s="510">
        <v>41372</v>
      </c>
    </row>
    <row r="17" spans="1:3" x14ac:dyDescent="0.2">
      <c r="A17" s="298" t="s">
        <v>47</v>
      </c>
      <c r="B17" s="298"/>
      <c r="C17" s="298"/>
    </row>
    <row r="18" spans="1:3" ht="13.5" customHeight="1" x14ac:dyDescent="0.2">
      <c r="A18" s="298" t="s">
        <v>4985</v>
      </c>
      <c r="B18" s="298">
        <v>-4645.6026500000007</v>
      </c>
      <c r="C18" s="298">
        <v>-1177.826139999999</v>
      </c>
    </row>
    <row r="19" spans="1:3" x14ac:dyDescent="0.2">
      <c r="A19" s="298" t="s">
        <v>48</v>
      </c>
      <c r="B19" s="298">
        <v>6086.5603100000008</v>
      </c>
      <c r="C19" s="298">
        <v>7493.9720699999953</v>
      </c>
    </row>
    <row r="20" spans="1:3" x14ac:dyDescent="0.2">
      <c r="A20" s="298" t="s">
        <v>2738</v>
      </c>
      <c r="B20" s="298">
        <v>2951</v>
      </c>
      <c r="C20" s="298">
        <v>230.17867000000024</v>
      </c>
    </row>
    <row r="21" spans="1:3" ht="14.25" customHeight="1" x14ac:dyDescent="0.2">
      <c r="A21" s="298" t="s">
        <v>4986</v>
      </c>
      <c r="B21" s="298">
        <v>-1465.9292599999999</v>
      </c>
      <c r="C21" s="298">
        <v>1046.5499299999997</v>
      </c>
    </row>
    <row r="22" spans="1:3" x14ac:dyDescent="0.2">
      <c r="A22" s="298" t="s">
        <v>49</v>
      </c>
      <c r="B22" s="509">
        <v>-1284</v>
      </c>
      <c r="C22" s="509">
        <v>1067</v>
      </c>
    </row>
    <row r="23" spans="1:3" x14ac:dyDescent="0.2">
      <c r="A23" s="298" t="s">
        <v>50</v>
      </c>
      <c r="B23" s="298">
        <v>1641.5372100000004</v>
      </c>
      <c r="C23" s="298">
        <v>8659</v>
      </c>
    </row>
    <row r="24" spans="1:3" x14ac:dyDescent="0.2">
      <c r="A24" s="298"/>
      <c r="B24" s="298"/>
      <c r="C24" s="298"/>
    </row>
    <row r="25" spans="1:3" x14ac:dyDescent="0.2">
      <c r="A25" s="298" t="s">
        <v>51</v>
      </c>
      <c r="B25" s="509">
        <v>65656</v>
      </c>
      <c r="C25" s="509">
        <v>50032</v>
      </c>
    </row>
    <row r="26" spans="1:3" x14ac:dyDescent="0.2">
      <c r="A26" s="298"/>
      <c r="B26" s="298"/>
      <c r="C26" s="298"/>
    </row>
    <row r="27" spans="1:3" x14ac:dyDescent="0.2">
      <c r="A27" s="298" t="s">
        <v>52</v>
      </c>
      <c r="B27" s="298"/>
      <c r="C27" s="298"/>
    </row>
    <row r="28" spans="1:3" x14ac:dyDescent="0.2">
      <c r="A28" s="298" t="s">
        <v>4987</v>
      </c>
      <c r="B28" s="298">
        <v>-8029</v>
      </c>
      <c r="C28" s="298">
        <v>-3370.7582499999999</v>
      </c>
    </row>
    <row r="29" spans="1:3" x14ac:dyDescent="0.2">
      <c r="A29" s="298" t="s">
        <v>4988</v>
      </c>
      <c r="B29" s="298">
        <v>10810.488959999999</v>
      </c>
      <c r="C29" s="298">
        <v>9503.2251500000002</v>
      </c>
    </row>
    <row r="30" spans="1:3" x14ac:dyDescent="0.2">
      <c r="A30" s="298" t="s">
        <v>4989</v>
      </c>
      <c r="B30" s="297" t="s">
        <v>4</v>
      </c>
      <c r="C30" s="298">
        <v>-6253.1573699999999</v>
      </c>
    </row>
    <row r="31" spans="1:3" x14ac:dyDescent="0.2">
      <c r="A31" s="298" t="s">
        <v>4990</v>
      </c>
      <c r="B31" s="509">
        <v>310</v>
      </c>
      <c r="C31" s="511" t="s">
        <v>4</v>
      </c>
    </row>
    <row r="32" spans="1:3" x14ac:dyDescent="0.2">
      <c r="A32" s="298" t="s">
        <v>4991</v>
      </c>
      <c r="B32" s="510">
        <v>3091</v>
      </c>
      <c r="C32" s="510">
        <v>-120.69046999999955</v>
      </c>
    </row>
    <row r="33" spans="1:3" x14ac:dyDescent="0.2">
      <c r="A33" s="298"/>
      <c r="B33" s="298"/>
      <c r="C33" s="298"/>
    </row>
    <row r="34" spans="1:3" x14ac:dyDescent="0.2">
      <c r="A34" s="298" t="s">
        <v>54</v>
      </c>
      <c r="B34" s="298"/>
      <c r="C34" s="298"/>
    </row>
    <row r="35" spans="1:3" x14ac:dyDescent="0.2">
      <c r="A35" s="298" t="s">
        <v>56</v>
      </c>
      <c r="B35" s="298">
        <v>-11536</v>
      </c>
      <c r="C35" s="298">
        <v>-14969.247509999999</v>
      </c>
    </row>
    <row r="36" spans="1:3" x14ac:dyDescent="0.2">
      <c r="A36" s="298" t="s">
        <v>55</v>
      </c>
      <c r="B36" s="298">
        <v>-15020.765732875001</v>
      </c>
      <c r="C36" s="298">
        <v>-2797</v>
      </c>
    </row>
    <row r="37" spans="1:3" x14ac:dyDescent="0.2">
      <c r="A37" s="298" t="s">
        <v>4992</v>
      </c>
      <c r="B37" s="298">
        <v>-3621.6737200000002</v>
      </c>
      <c r="C37" s="298">
        <v>-4282</v>
      </c>
    </row>
    <row r="38" spans="1:3" x14ac:dyDescent="0.2">
      <c r="A38" s="298" t="s">
        <v>57</v>
      </c>
      <c r="B38" s="510">
        <v>-30179.439452874998</v>
      </c>
      <c r="C38" s="510">
        <v>-22048</v>
      </c>
    </row>
    <row r="39" spans="1:3" x14ac:dyDescent="0.2">
      <c r="A39" s="298"/>
      <c r="B39" s="298"/>
      <c r="C39" s="298"/>
    </row>
    <row r="40" spans="1:3" x14ac:dyDescent="0.2">
      <c r="A40" s="298"/>
      <c r="B40" s="298"/>
      <c r="C40" s="298"/>
    </row>
    <row r="41" spans="1:3" ht="12.75" thickBot="1" x14ac:dyDescent="0.25">
      <c r="A41" s="298" t="s">
        <v>58</v>
      </c>
      <c r="B41" s="512">
        <v>38567.684747124993</v>
      </c>
      <c r="C41" s="512">
        <v>27863.424780000016</v>
      </c>
    </row>
    <row r="42" spans="1:3" ht="12.75" thickTop="1" x14ac:dyDescent="0.2">
      <c r="A42" s="298"/>
      <c r="B42" s="298"/>
      <c r="C42" s="298"/>
    </row>
    <row r="43" spans="1:3" x14ac:dyDescent="0.2">
      <c r="A43" s="298" t="s">
        <v>61</v>
      </c>
      <c r="B43" s="298"/>
      <c r="C43" s="298"/>
    </row>
    <row r="44" spans="1:3" x14ac:dyDescent="0.2">
      <c r="A44" s="298" t="s">
        <v>62</v>
      </c>
      <c r="B44" s="298"/>
      <c r="C44" s="298"/>
    </row>
    <row r="45" spans="1:3" x14ac:dyDescent="0.2">
      <c r="A45" s="298" t="s">
        <v>59</v>
      </c>
      <c r="B45" s="298">
        <v>231768.12542</v>
      </c>
      <c r="C45" s="298">
        <v>193199.75694999998</v>
      </c>
    </row>
    <row r="46" spans="1:3" x14ac:dyDescent="0.2">
      <c r="A46" s="298" t="s">
        <v>60</v>
      </c>
      <c r="B46" s="298">
        <v>193199.75694999998</v>
      </c>
      <c r="C46" s="298">
        <v>165337</v>
      </c>
    </row>
    <row r="47" spans="1:3" x14ac:dyDescent="0.2">
      <c r="A47" s="298"/>
      <c r="B47" s="298"/>
      <c r="C47" s="298"/>
    </row>
    <row r="48" spans="1:3" ht="13.5" customHeight="1" thickBot="1" x14ac:dyDescent="0.25">
      <c r="A48" s="298" t="s">
        <v>63</v>
      </c>
      <c r="B48" s="512">
        <v>38568.368470000016</v>
      </c>
      <c r="C48" s="512">
        <v>27862.756949999981</v>
      </c>
    </row>
    <row r="49" spans="2:2" ht="12.75" thickTop="1" x14ac:dyDescent="0.2"/>
    <row r="51" spans="2:2" x14ac:dyDescent="0.2">
      <c r="B51" s="556"/>
    </row>
    <row r="52" spans="2:2" x14ac:dyDescent="0.2">
      <c r="B52" s="556"/>
    </row>
    <row r="53" spans="2:2" x14ac:dyDescent="0.2">
      <c r="B53" s="556"/>
    </row>
    <row r="54" spans="2:2" x14ac:dyDescent="0.2">
      <c r="B54" s="556"/>
    </row>
  </sheetData>
  <pageMargins left="0.511811024" right="0.511811024" top="0.78740157499999996" bottom="0.78740157499999996" header="0.31496062000000002" footer="0.31496062000000002"/>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H56"/>
  <sheetViews>
    <sheetView zoomScaleNormal="100" workbookViewId="0">
      <selection activeCell="F18" sqref="F18"/>
    </sheetView>
  </sheetViews>
  <sheetFormatPr defaultRowHeight="12" x14ac:dyDescent="0.2"/>
  <cols>
    <col min="1" max="1" width="51.140625" style="528" bestFit="1" customWidth="1"/>
    <col min="2" max="2" width="12.28515625" style="528" customWidth="1"/>
    <col min="3" max="3" width="16" style="528" customWidth="1"/>
    <col min="4" max="4" width="9.140625" style="528"/>
    <col min="5" max="5" width="11.7109375" style="528" bestFit="1" customWidth="1"/>
    <col min="6" max="7" width="9.140625" style="528"/>
    <col min="8" max="8" width="11.7109375" style="528" bestFit="1" customWidth="1"/>
    <col min="9" max="16384" width="9.140625" style="528"/>
  </cols>
  <sheetData>
    <row r="1" spans="1:8" s="530" customFormat="1" ht="15" x14ac:dyDescent="0.2">
      <c r="A1" s="555" t="s">
        <v>261</v>
      </c>
    </row>
    <row r="2" spans="1:8" s="530" customFormat="1" ht="15" x14ac:dyDescent="0.2">
      <c r="A2" s="555" t="s">
        <v>2747</v>
      </c>
    </row>
    <row r="3" spans="1:8" s="530" customFormat="1" ht="14.25" x14ac:dyDescent="0.2">
      <c r="A3" s="534" t="s">
        <v>0</v>
      </c>
    </row>
    <row r="4" spans="1:8" x14ac:dyDescent="0.2">
      <c r="A4" s="515"/>
    </row>
    <row r="5" spans="1:8" x14ac:dyDescent="0.2">
      <c r="A5" s="515"/>
    </row>
    <row r="6" spans="1:8" ht="12.75" thickBot="1" x14ac:dyDescent="0.25">
      <c r="A6" s="515"/>
      <c r="B6" s="516">
        <v>2020</v>
      </c>
      <c r="C6" s="516">
        <v>2019</v>
      </c>
    </row>
    <row r="7" spans="1:8" x14ac:dyDescent="0.2">
      <c r="A7" s="515"/>
      <c r="B7" s="517"/>
      <c r="C7" s="548" t="s">
        <v>3056</v>
      </c>
    </row>
    <row r="8" spans="1:8" x14ac:dyDescent="0.2">
      <c r="A8" s="518" t="s">
        <v>4993</v>
      </c>
      <c r="B8" s="517"/>
      <c r="C8" s="549"/>
    </row>
    <row r="9" spans="1:8" x14ac:dyDescent="0.2">
      <c r="A9" s="518" t="s">
        <v>64</v>
      </c>
      <c r="B9" s="519">
        <v>132890.24144000001</v>
      </c>
      <c r="C9" s="520">
        <v>129800.93571000001</v>
      </c>
    </row>
    <row r="10" spans="1:8" ht="12.75" thickBot="1" x14ac:dyDescent="0.25">
      <c r="A10" s="518" t="s">
        <v>65</v>
      </c>
      <c r="B10" s="521">
        <v>3928.2375000000006</v>
      </c>
      <c r="C10" s="522">
        <v>-305.16699999999997</v>
      </c>
      <c r="F10" s="550"/>
      <c r="G10" s="550"/>
    </row>
    <row r="11" spans="1:8" x14ac:dyDescent="0.2">
      <c r="A11" s="518"/>
      <c r="B11" s="519">
        <v>136818.47894</v>
      </c>
      <c r="C11" s="519">
        <v>129495.76871</v>
      </c>
    </row>
    <row r="12" spans="1:8" ht="15" customHeight="1" x14ac:dyDescent="0.2">
      <c r="A12" s="514" t="s">
        <v>66</v>
      </c>
      <c r="B12" s="519"/>
      <c r="C12" s="519"/>
    </row>
    <row r="13" spans="1:8" ht="13.5" customHeight="1" x14ac:dyDescent="0.2">
      <c r="A13" s="514" t="s">
        <v>67</v>
      </c>
      <c r="B13" s="523">
        <v>-37301.607919999995</v>
      </c>
      <c r="C13" s="523">
        <v>-34549.605299999996</v>
      </c>
      <c r="F13" s="550"/>
      <c r="G13" s="550"/>
      <c r="H13" s="550"/>
    </row>
    <row r="14" spans="1:8" ht="12.75" thickBot="1" x14ac:dyDescent="0.25">
      <c r="A14" s="514" t="s">
        <v>68</v>
      </c>
      <c r="B14" s="522">
        <v>-6535.1485299999995</v>
      </c>
      <c r="C14" s="522">
        <v>-4670.6822300000003</v>
      </c>
      <c r="F14" s="550"/>
      <c r="G14" s="550"/>
    </row>
    <row r="15" spans="1:8" x14ac:dyDescent="0.2">
      <c r="A15" s="514"/>
      <c r="B15" s="524">
        <v>-43836.756449999993</v>
      </c>
      <c r="C15" s="524">
        <v>-39221.287529999994</v>
      </c>
    </row>
    <row r="16" spans="1:8" x14ac:dyDescent="0.2">
      <c r="A16" s="514"/>
      <c r="B16" s="519"/>
      <c r="C16" s="519"/>
    </row>
    <row r="17" spans="1:4" ht="14.25" customHeight="1" x14ac:dyDescent="0.2">
      <c r="A17" s="514" t="s">
        <v>69</v>
      </c>
      <c r="B17" s="519">
        <v>92980.722490000015</v>
      </c>
      <c r="C17" s="525">
        <v>90275.481180000002</v>
      </c>
    </row>
    <row r="18" spans="1:4" ht="12.75" thickBot="1" x14ac:dyDescent="0.25">
      <c r="A18" s="518"/>
      <c r="B18" s="526"/>
      <c r="C18" s="526"/>
    </row>
    <row r="19" spans="1:4" x14ac:dyDescent="0.2">
      <c r="A19" s="514" t="s">
        <v>70</v>
      </c>
      <c r="B19" s="519">
        <v>92980.722490000015</v>
      </c>
      <c r="C19" s="519">
        <v>90275.481180000002</v>
      </c>
    </row>
    <row r="20" spans="1:4" x14ac:dyDescent="0.2">
      <c r="A20" s="514"/>
      <c r="C20" s="551"/>
    </row>
    <row r="21" spans="1:4" x14ac:dyDescent="0.2">
      <c r="A21" s="514" t="s">
        <v>71</v>
      </c>
    </row>
    <row r="22" spans="1:4" x14ac:dyDescent="0.2">
      <c r="A22" s="514" t="s">
        <v>31</v>
      </c>
      <c r="B22" s="552">
        <v>-35336.252609999996</v>
      </c>
      <c r="C22" s="552">
        <v>-9149</v>
      </c>
    </row>
    <row r="23" spans="1:4" ht="12.75" thickBot="1" x14ac:dyDescent="0.25">
      <c r="A23" s="514" t="s">
        <v>72</v>
      </c>
      <c r="B23" s="526">
        <v>6656.2057999999997</v>
      </c>
      <c r="C23" s="522">
        <v>712</v>
      </c>
      <c r="D23" s="528" t="s">
        <v>3</v>
      </c>
    </row>
    <row r="24" spans="1:4" x14ac:dyDescent="0.2">
      <c r="A24" s="514"/>
      <c r="B24" s="524">
        <v>-28680.046809999996</v>
      </c>
      <c r="C24" s="524">
        <v>-8437</v>
      </c>
    </row>
    <row r="25" spans="1:4" ht="12.75" thickBot="1" x14ac:dyDescent="0.25">
      <c r="A25" s="514"/>
      <c r="B25" s="526"/>
      <c r="C25" s="526"/>
    </row>
    <row r="26" spans="1:4" ht="12.75" thickBot="1" x14ac:dyDescent="0.25">
      <c r="A26" s="514" t="s">
        <v>73</v>
      </c>
      <c r="B26" s="526">
        <v>64300.675680000015</v>
      </c>
      <c r="C26" s="526">
        <v>81838.481180000002</v>
      </c>
    </row>
    <row r="27" spans="1:4" x14ac:dyDescent="0.2">
      <c r="A27" s="514"/>
    </row>
    <row r="28" spans="1:4" x14ac:dyDescent="0.2">
      <c r="A28" s="514" t="s">
        <v>74</v>
      </c>
    </row>
    <row r="29" spans="1:4" x14ac:dyDescent="0.2">
      <c r="A29" s="518" t="s">
        <v>75</v>
      </c>
    </row>
    <row r="30" spans="1:4" x14ac:dyDescent="0.2">
      <c r="A30" s="514" t="s">
        <v>4994</v>
      </c>
      <c r="B30" s="551">
        <v>4183.0881400000007</v>
      </c>
      <c r="C30" s="551">
        <v>4093.6203200000009</v>
      </c>
    </row>
    <row r="31" spans="1:4" x14ac:dyDescent="0.2">
      <c r="A31" s="514" t="s">
        <v>4995</v>
      </c>
      <c r="B31" s="551">
        <v>531.75253999999995</v>
      </c>
      <c r="C31" s="551">
        <v>493.64505999999994</v>
      </c>
    </row>
    <row r="32" spans="1:4" x14ac:dyDescent="0.2">
      <c r="A32" s="527" t="s">
        <v>4996</v>
      </c>
      <c r="B32" s="551">
        <v>383.02814000000001</v>
      </c>
      <c r="C32" s="551">
        <v>345.39192000000003</v>
      </c>
    </row>
    <row r="33" spans="1:3" x14ac:dyDescent="0.2">
      <c r="A33" s="527" t="s">
        <v>4997</v>
      </c>
      <c r="B33" s="551">
        <v>499.42272999999994</v>
      </c>
      <c r="C33" s="551">
        <v>456.06508000000002</v>
      </c>
    </row>
    <row r="34" spans="1:3" x14ac:dyDescent="0.2">
      <c r="A34" s="527" t="s">
        <v>4998</v>
      </c>
      <c r="B34" s="551">
        <v>673.98398999999995</v>
      </c>
      <c r="C34" s="551">
        <v>821.19719000000009</v>
      </c>
    </row>
    <row r="35" spans="1:3" x14ac:dyDescent="0.2">
      <c r="A35" s="527" t="s">
        <v>4999</v>
      </c>
      <c r="B35" s="551">
        <v>406.03156000000001</v>
      </c>
      <c r="C35" s="551">
        <v>441.51013999999998</v>
      </c>
    </row>
    <row r="36" spans="1:3" x14ac:dyDescent="0.2">
      <c r="A36" s="527" t="s">
        <v>5000</v>
      </c>
      <c r="B36" s="551">
        <v>357.59073999999998</v>
      </c>
      <c r="C36" s="551">
        <v>285.95855</v>
      </c>
    </row>
    <row r="37" spans="1:3" x14ac:dyDescent="0.2">
      <c r="A37" s="527" t="s">
        <v>5001</v>
      </c>
      <c r="B37" s="551">
        <v>122.71860000000001</v>
      </c>
      <c r="C37" s="553" t="s">
        <v>4</v>
      </c>
    </row>
    <row r="38" spans="1:3" x14ac:dyDescent="0.2">
      <c r="A38" s="527" t="s">
        <v>5002</v>
      </c>
      <c r="B38" s="552">
        <v>-166.81693999999999</v>
      </c>
      <c r="C38" s="552">
        <v>-138.53533999999999</v>
      </c>
    </row>
    <row r="39" spans="1:3" ht="12.75" thickBot="1" x14ac:dyDescent="0.25">
      <c r="A39" s="527" t="s">
        <v>5003</v>
      </c>
      <c r="B39" s="526">
        <v>14.158399999999999</v>
      </c>
      <c r="C39" s="526">
        <v>12.257540000000001</v>
      </c>
    </row>
    <row r="40" spans="1:3" x14ac:dyDescent="0.2">
      <c r="A40" s="527"/>
      <c r="B40" s="519">
        <v>7004.9579000000022</v>
      </c>
      <c r="C40" s="519">
        <v>6811.1104600000008</v>
      </c>
    </row>
    <row r="41" spans="1:3" x14ac:dyDescent="0.2">
      <c r="A41" s="527"/>
    </row>
    <row r="42" spans="1:3" x14ac:dyDescent="0.2">
      <c r="A42" s="527" t="s">
        <v>76</v>
      </c>
    </row>
    <row r="43" spans="1:3" x14ac:dyDescent="0.2">
      <c r="A43" s="527" t="s">
        <v>5004</v>
      </c>
      <c r="B43" s="551">
        <v>1105.45418</v>
      </c>
      <c r="C43" s="551">
        <v>1090.9487799999999</v>
      </c>
    </row>
    <row r="44" spans="1:3" x14ac:dyDescent="0.2">
      <c r="A44" s="527" t="s">
        <v>5005</v>
      </c>
      <c r="B44" s="551">
        <v>6364.2385599999998</v>
      </c>
      <c r="C44" s="551">
        <v>12701</v>
      </c>
    </row>
    <row r="45" spans="1:3" x14ac:dyDescent="0.2">
      <c r="A45" s="527" t="s">
        <v>5006</v>
      </c>
      <c r="B45" s="551">
        <v>13871.479519999999</v>
      </c>
      <c r="C45" s="551">
        <v>13635.408229999999</v>
      </c>
    </row>
    <row r="46" spans="1:3" ht="12.75" thickBot="1" x14ac:dyDescent="0.25">
      <c r="A46" s="527" t="s">
        <v>5003</v>
      </c>
      <c r="B46" s="526">
        <v>5468.6842500000002</v>
      </c>
      <c r="C46" s="526">
        <v>7494</v>
      </c>
    </row>
    <row r="47" spans="1:3" x14ac:dyDescent="0.2">
      <c r="A47" s="527"/>
      <c r="B47" s="551">
        <v>26808.856509999998</v>
      </c>
      <c r="C47" s="519">
        <v>34921.35701</v>
      </c>
    </row>
    <row r="48" spans="1:3" x14ac:dyDescent="0.2">
      <c r="A48" s="527"/>
    </row>
    <row r="49" spans="1:5" x14ac:dyDescent="0.2">
      <c r="A49" s="527" t="s">
        <v>77</v>
      </c>
    </row>
    <row r="50" spans="1:5" x14ac:dyDescent="0.2">
      <c r="A50" s="527" t="s">
        <v>5007</v>
      </c>
      <c r="B50" s="551">
        <v>30486.861270000005</v>
      </c>
      <c r="C50" s="551">
        <v>40106</v>
      </c>
    </row>
    <row r="51" spans="1:5" ht="12.75" thickBot="1" x14ac:dyDescent="0.25">
      <c r="A51" s="527"/>
      <c r="B51" s="526"/>
      <c r="C51" s="526"/>
    </row>
    <row r="52" spans="1:5" ht="12.75" thickBot="1" x14ac:dyDescent="0.25">
      <c r="A52" s="527" t="s">
        <v>41</v>
      </c>
      <c r="B52" s="526">
        <v>64300.67568</v>
      </c>
      <c r="C52" s="526">
        <v>81838.467470000003</v>
      </c>
      <c r="E52" s="551"/>
    </row>
    <row r="55" spans="1:5" x14ac:dyDescent="0.2">
      <c r="B55" s="551"/>
    </row>
    <row r="56" spans="1:5" x14ac:dyDescent="0.2">
      <c r="B56" s="551"/>
      <c r="E56" s="554"/>
    </row>
  </sheetData>
  <pageMargins left="0.511811024" right="0.511811024" top="0.78740157499999996" bottom="0.78740157499999996" header="0.31496062000000002" footer="0.31496062000000002"/>
  <pageSetup paperSize="9" scale="67" orientation="portrait" r:id="rId1"/>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AN1756"/>
  <sheetViews>
    <sheetView topLeftCell="A1735" workbookViewId="0">
      <selection activeCell="U1755" sqref="U1755"/>
    </sheetView>
  </sheetViews>
  <sheetFormatPr defaultRowHeight="15" x14ac:dyDescent="0.25"/>
  <cols>
    <col min="1" max="1" width="1.7109375" customWidth="1"/>
    <col min="2" max="2" width="9.85546875" customWidth="1"/>
    <col min="3" max="3" width="5.28515625" customWidth="1"/>
    <col min="4" max="4" width="3.42578125" customWidth="1"/>
    <col min="5" max="5" width="1.28515625" customWidth="1"/>
    <col min="6" max="6" width="1.7109375" customWidth="1"/>
    <col min="7" max="7" width="1.42578125" customWidth="1"/>
    <col min="8" max="12" width="1.28515625" customWidth="1"/>
    <col min="13" max="13" width="10.85546875" customWidth="1"/>
    <col min="14" max="14" width="17.42578125" customWidth="1"/>
    <col min="15" max="15" width="3.140625" customWidth="1"/>
    <col min="16" max="16" width="4.7109375" customWidth="1"/>
    <col min="17" max="17" width="10.7109375" customWidth="1"/>
    <col min="18" max="18" width="2" customWidth="1"/>
    <col min="19" max="19" width="1.28515625" customWidth="1"/>
    <col min="20" max="20" width="5.42578125" customWidth="1"/>
    <col min="21" max="21" width="6.28515625" customWidth="1"/>
    <col min="22" max="22" width="2.28515625" customWidth="1"/>
    <col min="23" max="23" width="1" customWidth="1"/>
    <col min="24" max="24" width="2.5703125" customWidth="1"/>
    <col min="25" max="25" width="1.7109375" customWidth="1"/>
    <col min="26" max="26" width="2" customWidth="1"/>
    <col min="27" max="27" width="1.28515625" customWidth="1"/>
    <col min="28" max="28" width="5.140625" customWidth="1"/>
    <col min="29" max="29" width="1" customWidth="1"/>
    <col min="30" max="30" width="2.7109375" customWidth="1"/>
    <col min="31" max="31" width="1.28515625" customWidth="1"/>
    <col min="32" max="32" width="2.28515625" customWidth="1"/>
    <col min="33" max="33" width="1" customWidth="1"/>
    <col min="34" max="34" width="1.5703125" customWidth="1"/>
    <col min="35" max="35" width="1.42578125" customWidth="1"/>
    <col min="36" max="36" width="1" customWidth="1"/>
    <col min="37" max="37" width="5.28515625" customWidth="1"/>
    <col min="38" max="38" width="4.42578125" bestFit="1" customWidth="1"/>
    <col min="39" max="39" width="13.5703125" bestFit="1" customWidth="1"/>
    <col min="257" max="257" width="1.7109375" customWidth="1"/>
    <col min="258" max="258" width="9.85546875" customWidth="1"/>
    <col min="259" max="259" width="5.28515625" customWidth="1"/>
    <col min="260" max="260" width="3.42578125" customWidth="1"/>
    <col min="261" max="261" width="1.28515625" customWidth="1"/>
    <col min="262" max="262" width="1.7109375" customWidth="1"/>
    <col min="263" max="263" width="1.42578125" customWidth="1"/>
    <col min="264" max="268" width="1.28515625" customWidth="1"/>
    <col min="269" max="269" width="10.85546875" customWidth="1"/>
    <col min="270" max="270" width="17.42578125" customWidth="1"/>
    <col min="271" max="271" width="3.140625" customWidth="1"/>
    <col min="272" max="272" width="4.7109375" customWidth="1"/>
    <col min="273" max="273" width="8.7109375" customWidth="1"/>
    <col min="274" max="274" width="2" customWidth="1"/>
    <col min="275" max="275" width="1.28515625" customWidth="1"/>
    <col min="276" max="276" width="5.42578125" customWidth="1"/>
    <col min="277" max="277" width="6.28515625" customWidth="1"/>
    <col min="278" max="278" width="2.28515625" customWidth="1"/>
    <col min="279" max="279" width="1" customWidth="1"/>
    <col min="280" max="280" width="2.5703125" customWidth="1"/>
    <col min="281" max="281" width="1.7109375" customWidth="1"/>
    <col min="282" max="282" width="2" customWidth="1"/>
    <col min="283" max="283" width="1.28515625" customWidth="1"/>
    <col min="284" max="284" width="5.140625" customWidth="1"/>
    <col min="285" max="285" width="1" customWidth="1"/>
    <col min="286" max="286" width="2.7109375" customWidth="1"/>
    <col min="287" max="287" width="1.28515625" customWidth="1"/>
    <col min="288" max="288" width="2.28515625" customWidth="1"/>
    <col min="289" max="289" width="1" customWidth="1"/>
    <col min="290" max="290" width="1.5703125" customWidth="1"/>
    <col min="291" max="291" width="1.42578125" customWidth="1"/>
    <col min="292" max="292" width="1" customWidth="1"/>
    <col min="293" max="293" width="5.28515625" customWidth="1"/>
    <col min="294" max="294" width="6" customWidth="1"/>
    <col min="513" max="513" width="1.7109375" customWidth="1"/>
    <col min="514" max="514" width="9.85546875" customWidth="1"/>
    <col min="515" max="515" width="5.28515625" customWidth="1"/>
    <col min="516" max="516" width="3.42578125" customWidth="1"/>
    <col min="517" max="517" width="1.28515625" customWidth="1"/>
    <col min="518" max="518" width="1.7109375" customWidth="1"/>
    <col min="519" max="519" width="1.42578125" customWidth="1"/>
    <col min="520" max="524" width="1.28515625" customWidth="1"/>
    <col min="525" max="525" width="10.85546875" customWidth="1"/>
    <col min="526" max="526" width="17.42578125" customWidth="1"/>
    <col min="527" max="527" width="3.140625" customWidth="1"/>
    <col min="528" max="528" width="4.7109375" customWidth="1"/>
    <col min="529" max="529" width="8.7109375" customWidth="1"/>
    <col min="530" max="530" width="2" customWidth="1"/>
    <col min="531" max="531" width="1.28515625" customWidth="1"/>
    <col min="532" max="532" width="5.42578125" customWidth="1"/>
    <col min="533" max="533" width="6.28515625" customWidth="1"/>
    <col min="534" max="534" width="2.28515625" customWidth="1"/>
    <col min="535" max="535" width="1" customWidth="1"/>
    <col min="536" max="536" width="2.5703125" customWidth="1"/>
    <col min="537" max="537" width="1.7109375" customWidth="1"/>
    <col min="538" max="538" width="2" customWidth="1"/>
    <col min="539" max="539" width="1.28515625" customWidth="1"/>
    <col min="540" max="540" width="5.140625" customWidth="1"/>
    <col min="541" max="541" width="1" customWidth="1"/>
    <col min="542" max="542" width="2.7109375" customWidth="1"/>
    <col min="543" max="543" width="1.28515625" customWidth="1"/>
    <col min="544" max="544" width="2.28515625" customWidth="1"/>
    <col min="545" max="545" width="1" customWidth="1"/>
    <col min="546" max="546" width="1.5703125" customWidth="1"/>
    <col min="547" max="547" width="1.42578125" customWidth="1"/>
    <col min="548" max="548" width="1" customWidth="1"/>
    <col min="549" max="549" width="5.28515625" customWidth="1"/>
    <col min="550" max="550" width="6" customWidth="1"/>
    <col min="769" max="769" width="1.7109375" customWidth="1"/>
    <col min="770" max="770" width="9.85546875" customWidth="1"/>
    <col min="771" max="771" width="5.28515625" customWidth="1"/>
    <col min="772" max="772" width="3.42578125" customWidth="1"/>
    <col min="773" max="773" width="1.28515625" customWidth="1"/>
    <col min="774" max="774" width="1.7109375" customWidth="1"/>
    <col min="775" max="775" width="1.42578125" customWidth="1"/>
    <col min="776" max="780" width="1.28515625" customWidth="1"/>
    <col min="781" max="781" width="10.85546875" customWidth="1"/>
    <col min="782" max="782" width="17.42578125" customWidth="1"/>
    <col min="783" max="783" width="3.140625" customWidth="1"/>
    <col min="784" max="784" width="4.7109375" customWidth="1"/>
    <col min="785" max="785" width="8.7109375" customWidth="1"/>
    <col min="786" max="786" width="2" customWidth="1"/>
    <col min="787" max="787" width="1.28515625" customWidth="1"/>
    <col min="788" max="788" width="5.42578125" customWidth="1"/>
    <col min="789" max="789" width="6.28515625" customWidth="1"/>
    <col min="790" max="790" width="2.28515625" customWidth="1"/>
    <col min="791" max="791" width="1" customWidth="1"/>
    <col min="792" max="792" width="2.5703125" customWidth="1"/>
    <col min="793" max="793" width="1.7109375" customWidth="1"/>
    <col min="794" max="794" width="2" customWidth="1"/>
    <col min="795" max="795" width="1.28515625" customWidth="1"/>
    <col min="796" max="796" width="5.140625" customWidth="1"/>
    <col min="797" max="797" width="1" customWidth="1"/>
    <col min="798" max="798" width="2.7109375" customWidth="1"/>
    <col min="799" max="799" width="1.28515625" customWidth="1"/>
    <col min="800" max="800" width="2.28515625" customWidth="1"/>
    <col min="801" max="801" width="1" customWidth="1"/>
    <col min="802" max="802" width="1.5703125" customWidth="1"/>
    <col min="803" max="803" width="1.42578125" customWidth="1"/>
    <col min="804" max="804" width="1" customWidth="1"/>
    <col min="805" max="805" width="5.28515625" customWidth="1"/>
    <col min="806" max="806" width="6" customWidth="1"/>
    <col min="1025" max="1025" width="1.7109375" customWidth="1"/>
    <col min="1026" max="1026" width="9.85546875" customWidth="1"/>
    <col min="1027" max="1027" width="5.28515625" customWidth="1"/>
    <col min="1028" max="1028" width="3.42578125" customWidth="1"/>
    <col min="1029" max="1029" width="1.28515625" customWidth="1"/>
    <col min="1030" max="1030" width="1.7109375" customWidth="1"/>
    <col min="1031" max="1031" width="1.42578125" customWidth="1"/>
    <col min="1032" max="1036" width="1.28515625" customWidth="1"/>
    <col min="1037" max="1037" width="10.85546875" customWidth="1"/>
    <col min="1038" max="1038" width="17.42578125" customWidth="1"/>
    <col min="1039" max="1039" width="3.140625" customWidth="1"/>
    <col min="1040" max="1040" width="4.7109375" customWidth="1"/>
    <col min="1041" max="1041" width="8.7109375" customWidth="1"/>
    <col min="1042" max="1042" width="2" customWidth="1"/>
    <col min="1043" max="1043" width="1.28515625" customWidth="1"/>
    <col min="1044" max="1044" width="5.42578125" customWidth="1"/>
    <col min="1045" max="1045" width="6.28515625" customWidth="1"/>
    <col min="1046" max="1046" width="2.28515625" customWidth="1"/>
    <col min="1047" max="1047" width="1" customWidth="1"/>
    <col min="1048" max="1048" width="2.5703125" customWidth="1"/>
    <col min="1049" max="1049" width="1.7109375" customWidth="1"/>
    <col min="1050" max="1050" width="2" customWidth="1"/>
    <col min="1051" max="1051" width="1.28515625" customWidth="1"/>
    <col min="1052" max="1052" width="5.140625" customWidth="1"/>
    <col min="1053" max="1053" width="1" customWidth="1"/>
    <col min="1054" max="1054" width="2.7109375" customWidth="1"/>
    <col min="1055" max="1055" width="1.28515625" customWidth="1"/>
    <col min="1056" max="1056" width="2.28515625" customWidth="1"/>
    <col min="1057" max="1057" width="1" customWidth="1"/>
    <col min="1058" max="1058" width="1.5703125" customWidth="1"/>
    <col min="1059" max="1059" width="1.42578125" customWidth="1"/>
    <col min="1060" max="1060" width="1" customWidth="1"/>
    <col min="1061" max="1061" width="5.28515625" customWidth="1"/>
    <col min="1062" max="1062" width="6" customWidth="1"/>
    <col min="1281" max="1281" width="1.7109375" customWidth="1"/>
    <col min="1282" max="1282" width="9.85546875" customWidth="1"/>
    <col min="1283" max="1283" width="5.28515625" customWidth="1"/>
    <col min="1284" max="1284" width="3.42578125" customWidth="1"/>
    <col min="1285" max="1285" width="1.28515625" customWidth="1"/>
    <col min="1286" max="1286" width="1.7109375" customWidth="1"/>
    <col min="1287" max="1287" width="1.42578125" customWidth="1"/>
    <col min="1288" max="1292" width="1.28515625" customWidth="1"/>
    <col min="1293" max="1293" width="10.85546875" customWidth="1"/>
    <col min="1294" max="1294" width="17.42578125" customWidth="1"/>
    <col min="1295" max="1295" width="3.140625" customWidth="1"/>
    <col min="1296" max="1296" width="4.7109375" customWidth="1"/>
    <col min="1297" max="1297" width="8.7109375" customWidth="1"/>
    <col min="1298" max="1298" width="2" customWidth="1"/>
    <col min="1299" max="1299" width="1.28515625" customWidth="1"/>
    <col min="1300" max="1300" width="5.42578125" customWidth="1"/>
    <col min="1301" max="1301" width="6.28515625" customWidth="1"/>
    <col min="1302" max="1302" width="2.28515625" customWidth="1"/>
    <col min="1303" max="1303" width="1" customWidth="1"/>
    <col min="1304" max="1304" width="2.5703125" customWidth="1"/>
    <col min="1305" max="1305" width="1.7109375" customWidth="1"/>
    <col min="1306" max="1306" width="2" customWidth="1"/>
    <col min="1307" max="1307" width="1.28515625" customWidth="1"/>
    <col min="1308" max="1308" width="5.140625" customWidth="1"/>
    <col min="1309" max="1309" width="1" customWidth="1"/>
    <col min="1310" max="1310" width="2.7109375" customWidth="1"/>
    <col min="1311" max="1311" width="1.28515625" customWidth="1"/>
    <col min="1312" max="1312" width="2.28515625" customWidth="1"/>
    <col min="1313" max="1313" width="1" customWidth="1"/>
    <col min="1314" max="1314" width="1.5703125" customWidth="1"/>
    <col min="1315" max="1315" width="1.42578125" customWidth="1"/>
    <col min="1316" max="1316" width="1" customWidth="1"/>
    <col min="1317" max="1317" width="5.28515625" customWidth="1"/>
    <col min="1318" max="1318" width="6" customWidth="1"/>
    <col min="1537" max="1537" width="1.7109375" customWidth="1"/>
    <col min="1538" max="1538" width="9.85546875" customWidth="1"/>
    <col min="1539" max="1539" width="5.28515625" customWidth="1"/>
    <col min="1540" max="1540" width="3.42578125" customWidth="1"/>
    <col min="1541" max="1541" width="1.28515625" customWidth="1"/>
    <col min="1542" max="1542" width="1.7109375" customWidth="1"/>
    <col min="1543" max="1543" width="1.42578125" customWidth="1"/>
    <col min="1544" max="1548" width="1.28515625" customWidth="1"/>
    <col min="1549" max="1549" width="10.85546875" customWidth="1"/>
    <col min="1550" max="1550" width="17.42578125" customWidth="1"/>
    <col min="1551" max="1551" width="3.140625" customWidth="1"/>
    <col min="1552" max="1552" width="4.7109375" customWidth="1"/>
    <col min="1553" max="1553" width="8.7109375" customWidth="1"/>
    <col min="1554" max="1554" width="2" customWidth="1"/>
    <col min="1555" max="1555" width="1.28515625" customWidth="1"/>
    <col min="1556" max="1556" width="5.42578125" customWidth="1"/>
    <col min="1557" max="1557" width="6.28515625" customWidth="1"/>
    <col min="1558" max="1558" width="2.28515625" customWidth="1"/>
    <col min="1559" max="1559" width="1" customWidth="1"/>
    <col min="1560" max="1560" width="2.5703125" customWidth="1"/>
    <col min="1561" max="1561" width="1.7109375" customWidth="1"/>
    <col min="1562" max="1562" width="2" customWidth="1"/>
    <col min="1563" max="1563" width="1.28515625" customWidth="1"/>
    <col min="1564" max="1564" width="5.140625" customWidth="1"/>
    <col min="1565" max="1565" width="1" customWidth="1"/>
    <col min="1566" max="1566" width="2.7109375" customWidth="1"/>
    <col min="1567" max="1567" width="1.28515625" customWidth="1"/>
    <col min="1568" max="1568" width="2.28515625" customWidth="1"/>
    <col min="1569" max="1569" width="1" customWidth="1"/>
    <col min="1570" max="1570" width="1.5703125" customWidth="1"/>
    <col min="1571" max="1571" width="1.42578125" customWidth="1"/>
    <col min="1572" max="1572" width="1" customWidth="1"/>
    <col min="1573" max="1573" width="5.28515625" customWidth="1"/>
    <col min="1574" max="1574" width="6" customWidth="1"/>
    <col min="1793" max="1793" width="1.7109375" customWidth="1"/>
    <col min="1794" max="1794" width="9.85546875" customWidth="1"/>
    <col min="1795" max="1795" width="5.28515625" customWidth="1"/>
    <col min="1796" max="1796" width="3.42578125" customWidth="1"/>
    <col min="1797" max="1797" width="1.28515625" customWidth="1"/>
    <col min="1798" max="1798" width="1.7109375" customWidth="1"/>
    <col min="1799" max="1799" width="1.42578125" customWidth="1"/>
    <col min="1800" max="1804" width="1.28515625" customWidth="1"/>
    <col min="1805" max="1805" width="10.85546875" customWidth="1"/>
    <col min="1806" max="1806" width="17.42578125" customWidth="1"/>
    <col min="1807" max="1807" width="3.140625" customWidth="1"/>
    <col min="1808" max="1808" width="4.7109375" customWidth="1"/>
    <col min="1809" max="1809" width="8.7109375" customWidth="1"/>
    <col min="1810" max="1810" width="2" customWidth="1"/>
    <col min="1811" max="1811" width="1.28515625" customWidth="1"/>
    <col min="1812" max="1812" width="5.42578125" customWidth="1"/>
    <col min="1813" max="1813" width="6.28515625" customWidth="1"/>
    <col min="1814" max="1814" width="2.28515625" customWidth="1"/>
    <col min="1815" max="1815" width="1" customWidth="1"/>
    <col min="1816" max="1816" width="2.5703125" customWidth="1"/>
    <col min="1817" max="1817" width="1.7109375" customWidth="1"/>
    <col min="1818" max="1818" width="2" customWidth="1"/>
    <col min="1819" max="1819" width="1.28515625" customWidth="1"/>
    <col min="1820" max="1820" width="5.140625" customWidth="1"/>
    <col min="1821" max="1821" width="1" customWidth="1"/>
    <col min="1822" max="1822" width="2.7109375" customWidth="1"/>
    <col min="1823" max="1823" width="1.28515625" customWidth="1"/>
    <col min="1824" max="1824" width="2.28515625" customWidth="1"/>
    <col min="1825" max="1825" width="1" customWidth="1"/>
    <col min="1826" max="1826" width="1.5703125" customWidth="1"/>
    <col min="1827" max="1827" width="1.42578125" customWidth="1"/>
    <col min="1828" max="1828" width="1" customWidth="1"/>
    <col min="1829" max="1829" width="5.28515625" customWidth="1"/>
    <col min="1830" max="1830" width="6" customWidth="1"/>
    <col min="2049" max="2049" width="1.7109375" customWidth="1"/>
    <col min="2050" max="2050" width="9.85546875" customWidth="1"/>
    <col min="2051" max="2051" width="5.28515625" customWidth="1"/>
    <col min="2052" max="2052" width="3.42578125" customWidth="1"/>
    <col min="2053" max="2053" width="1.28515625" customWidth="1"/>
    <col min="2054" max="2054" width="1.7109375" customWidth="1"/>
    <col min="2055" max="2055" width="1.42578125" customWidth="1"/>
    <col min="2056" max="2060" width="1.28515625" customWidth="1"/>
    <col min="2061" max="2061" width="10.85546875" customWidth="1"/>
    <col min="2062" max="2062" width="17.42578125" customWidth="1"/>
    <col min="2063" max="2063" width="3.140625" customWidth="1"/>
    <col min="2064" max="2064" width="4.7109375" customWidth="1"/>
    <col min="2065" max="2065" width="8.7109375" customWidth="1"/>
    <col min="2066" max="2066" width="2" customWidth="1"/>
    <col min="2067" max="2067" width="1.28515625" customWidth="1"/>
    <col min="2068" max="2068" width="5.42578125" customWidth="1"/>
    <col min="2069" max="2069" width="6.28515625" customWidth="1"/>
    <col min="2070" max="2070" width="2.28515625" customWidth="1"/>
    <col min="2071" max="2071" width="1" customWidth="1"/>
    <col min="2072" max="2072" width="2.5703125" customWidth="1"/>
    <col min="2073" max="2073" width="1.7109375" customWidth="1"/>
    <col min="2074" max="2074" width="2" customWidth="1"/>
    <col min="2075" max="2075" width="1.28515625" customWidth="1"/>
    <col min="2076" max="2076" width="5.140625" customWidth="1"/>
    <col min="2077" max="2077" width="1" customWidth="1"/>
    <col min="2078" max="2078" width="2.7109375" customWidth="1"/>
    <col min="2079" max="2079" width="1.28515625" customWidth="1"/>
    <col min="2080" max="2080" width="2.28515625" customWidth="1"/>
    <col min="2081" max="2081" width="1" customWidth="1"/>
    <col min="2082" max="2082" width="1.5703125" customWidth="1"/>
    <col min="2083" max="2083" width="1.42578125" customWidth="1"/>
    <col min="2084" max="2084" width="1" customWidth="1"/>
    <col min="2085" max="2085" width="5.28515625" customWidth="1"/>
    <col min="2086" max="2086" width="6" customWidth="1"/>
    <col min="2305" max="2305" width="1.7109375" customWidth="1"/>
    <col min="2306" max="2306" width="9.85546875" customWidth="1"/>
    <col min="2307" max="2307" width="5.28515625" customWidth="1"/>
    <col min="2308" max="2308" width="3.42578125" customWidth="1"/>
    <col min="2309" max="2309" width="1.28515625" customWidth="1"/>
    <col min="2310" max="2310" width="1.7109375" customWidth="1"/>
    <col min="2311" max="2311" width="1.42578125" customWidth="1"/>
    <col min="2312" max="2316" width="1.28515625" customWidth="1"/>
    <col min="2317" max="2317" width="10.85546875" customWidth="1"/>
    <col min="2318" max="2318" width="17.42578125" customWidth="1"/>
    <col min="2319" max="2319" width="3.140625" customWidth="1"/>
    <col min="2320" max="2320" width="4.7109375" customWidth="1"/>
    <col min="2321" max="2321" width="8.7109375" customWidth="1"/>
    <col min="2322" max="2322" width="2" customWidth="1"/>
    <col min="2323" max="2323" width="1.28515625" customWidth="1"/>
    <col min="2324" max="2324" width="5.42578125" customWidth="1"/>
    <col min="2325" max="2325" width="6.28515625" customWidth="1"/>
    <col min="2326" max="2326" width="2.28515625" customWidth="1"/>
    <col min="2327" max="2327" width="1" customWidth="1"/>
    <col min="2328" max="2328" width="2.5703125" customWidth="1"/>
    <col min="2329" max="2329" width="1.7109375" customWidth="1"/>
    <col min="2330" max="2330" width="2" customWidth="1"/>
    <col min="2331" max="2331" width="1.28515625" customWidth="1"/>
    <col min="2332" max="2332" width="5.140625" customWidth="1"/>
    <col min="2333" max="2333" width="1" customWidth="1"/>
    <col min="2334" max="2334" width="2.7109375" customWidth="1"/>
    <col min="2335" max="2335" width="1.28515625" customWidth="1"/>
    <col min="2336" max="2336" width="2.28515625" customWidth="1"/>
    <col min="2337" max="2337" width="1" customWidth="1"/>
    <col min="2338" max="2338" width="1.5703125" customWidth="1"/>
    <col min="2339" max="2339" width="1.42578125" customWidth="1"/>
    <col min="2340" max="2340" width="1" customWidth="1"/>
    <col min="2341" max="2341" width="5.28515625" customWidth="1"/>
    <col min="2342" max="2342" width="6" customWidth="1"/>
    <col min="2561" max="2561" width="1.7109375" customWidth="1"/>
    <col min="2562" max="2562" width="9.85546875" customWidth="1"/>
    <col min="2563" max="2563" width="5.28515625" customWidth="1"/>
    <col min="2564" max="2564" width="3.42578125" customWidth="1"/>
    <col min="2565" max="2565" width="1.28515625" customWidth="1"/>
    <col min="2566" max="2566" width="1.7109375" customWidth="1"/>
    <col min="2567" max="2567" width="1.42578125" customWidth="1"/>
    <col min="2568" max="2572" width="1.28515625" customWidth="1"/>
    <col min="2573" max="2573" width="10.85546875" customWidth="1"/>
    <col min="2574" max="2574" width="17.42578125" customWidth="1"/>
    <col min="2575" max="2575" width="3.140625" customWidth="1"/>
    <col min="2576" max="2576" width="4.7109375" customWidth="1"/>
    <col min="2577" max="2577" width="8.7109375" customWidth="1"/>
    <col min="2578" max="2578" width="2" customWidth="1"/>
    <col min="2579" max="2579" width="1.28515625" customWidth="1"/>
    <col min="2580" max="2580" width="5.42578125" customWidth="1"/>
    <col min="2581" max="2581" width="6.28515625" customWidth="1"/>
    <col min="2582" max="2582" width="2.28515625" customWidth="1"/>
    <col min="2583" max="2583" width="1" customWidth="1"/>
    <col min="2584" max="2584" width="2.5703125" customWidth="1"/>
    <col min="2585" max="2585" width="1.7109375" customWidth="1"/>
    <col min="2586" max="2586" width="2" customWidth="1"/>
    <col min="2587" max="2587" width="1.28515625" customWidth="1"/>
    <col min="2588" max="2588" width="5.140625" customWidth="1"/>
    <col min="2589" max="2589" width="1" customWidth="1"/>
    <col min="2590" max="2590" width="2.7109375" customWidth="1"/>
    <col min="2591" max="2591" width="1.28515625" customWidth="1"/>
    <col min="2592" max="2592" width="2.28515625" customWidth="1"/>
    <col min="2593" max="2593" width="1" customWidth="1"/>
    <col min="2594" max="2594" width="1.5703125" customWidth="1"/>
    <col min="2595" max="2595" width="1.42578125" customWidth="1"/>
    <col min="2596" max="2596" width="1" customWidth="1"/>
    <col min="2597" max="2597" width="5.28515625" customWidth="1"/>
    <col min="2598" max="2598" width="6" customWidth="1"/>
    <col min="2817" max="2817" width="1.7109375" customWidth="1"/>
    <col min="2818" max="2818" width="9.85546875" customWidth="1"/>
    <col min="2819" max="2819" width="5.28515625" customWidth="1"/>
    <col min="2820" max="2820" width="3.42578125" customWidth="1"/>
    <col min="2821" max="2821" width="1.28515625" customWidth="1"/>
    <col min="2822" max="2822" width="1.7109375" customWidth="1"/>
    <col min="2823" max="2823" width="1.42578125" customWidth="1"/>
    <col min="2824" max="2828" width="1.28515625" customWidth="1"/>
    <col min="2829" max="2829" width="10.85546875" customWidth="1"/>
    <col min="2830" max="2830" width="17.42578125" customWidth="1"/>
    <col min="2831" max="2831" width="3.140625" customWidth="1"/>
    <col min="2832" max="2832" width="4.7109375" customWidth="1"/>
    <col min="2833" max="2833" width="8.7109375" customWidth="1"/>
    <col min="2834" max="2834" width="2" customWidth="1"/>
    <col min="2835" max="2835" width="1.28515625" customWidth="1"/>
    <col min="2836" max="2836" width="5.42578125" customWidth="1"/>
    <col min="2837" max="2837" width="6.28515625" customWidth="1"/>
    <col min="2838" max="2838" width="2.28515625" customWidth="1"/>
    <col min="2839" max="2839" width="1" customWidth="1"/>
    <col min="2840" max="2840" width="2.5703125" customWidth="1"/>
    <col min="2841" max="2841" width="1.7109375" customWidth="1"/>
    <col min="2842" max="2842" width="2" customWidth="1"/>
    <col min="2843" max="2843" width="1.28515625" customWidth="1"/>
    <col min="2844" max="2844" width="5.140625" customWidth="1"/>
    <col min="2845" max="2845" width="1" customWidth="1"/>
    <col min="2846" max="2846" width="2.7109375" customWidth="1"/>
    <col min="2847" max="2847" width="1.28515625" customWidth="1"/>
    <col min="2848" max="2848" width="2.28515625" customWidth="1"/>
    <col min="2849" max="2849" width="1" customWidth="1"/>
    <col min="2850" max="2850" width="1.5703125" customWidth="1"/>
    <col min="2851" max="2851" width="1.42578125" customWidth="1"/>
    <col min="2852" max="2852" width="1" customWidth="1"/>
    <col min="2853" max="2853" width="5.28515625" customWidth="1"/>
    <col min="2854" max="2854" width="6" customWidth="1"/>
    <col min="3073" max="3073" width="1.7109375" customWidth="1"/>
    <col min="3074" max="3074" width="9.85546875" customWidth="1"/>
    <col min="3075" max="3075" width="5.28515625" customWidth="1"/>
    <col min="3076" max="3076" width="3.42578125" customWidth="1"/>
    <col min="3077" max="3077" width="1.28515625" customWidth="1"/>
    <col min="3078" max="3078" width="1.7109375" customWidth="1"/>
    <col min="3079" max="3079" width="1.42578125" customWidth="1"/>
    <col min="3080" max="3084" width="1.28515625" customWidth="1"/>
    <col min="3085" max="3085" width="10.85546875" customWidth="1"/>
    <col min="3086" max="3086" width="17.42578125" customWidth="1"/>
    <col min="3087" max="3087" width="3.140625" customWidth="1"/>
    <col min="3088" max="3088" width="4.7109375" customWidth="1"/>
    <col min="3089" max="3089" width="8.7109375" customWidth="1"/>
    <col min="3090" max="3090" width="2" customWidth="1"/>
    <col min="3091" max="3091" width="1.28515625" customWidth="1"/>
    <col min="3092" max="3092" width="5.42578125" customWidth="1"/>
    <col min="3093" max="3093" width="6.28515625" customWidth="1"/>
    <col min="3094" max="3094" width="2.28515625" customWidth="1"/>
    <col min="3095" max="3095" width="1" customWidth="1"/>
    <col min="3096" max="3096" width="2.5703125" customWidth="1"/>
    <col min="3097" max="3097" width="1.7109375" customWidth="1"/>
    <col min="3098" max="3098" width="2" customWidth="1"/>
    <col min="3099" max="3099" width="1.28515625" customWidth="1"/>
    <col min="3100" max="3100" width="5.140625" customWidth="1"/>
    <col min="3101" max="3101" width="1" customWidth="1"/>
    <col min="3102" max="3102" width="2.7109375" customWidth="1"/>
    <col min="3103" max="3103" width="1.28515625" customWidth="1"/>
    <col min="3104" max="3104" width="2.28515625" customWidth="1"/>
    <col min="3105" max="3105" width="1" customWidth="1"/>
    <col min="3106" max="3106" width="1.5703125" customWidth="1"/>
    <col min="3107" max="3107" width="1.42578125" customWidth="1"/>
    <col min="3108" max="3108" width="1" customWidth="1"/>
    <col min="3109" max="3109" width="5.28515625" customWidth="1"/>
    <col min="3110" max="3110" width="6" customWidth="1"/>
    <col min="3329" max="3329" width="1.7109375" customWidth="1"/>
    <col min="3330" max="3330" width="9.85546875" customWidth="1"/>
    <col min="3331" max="3331" width="5.28515625" customWidth="1"/>
    <col min="3332" max="3332" width="3.42578125" customWidth="1"/>
    <col min="3333" max="3333" width="1.28515625" customWidth="1"/>
    <col min="3334" max="3334" width="1.7109375" customWidth="1"/>
    <col min="3335" max="3335" width="1.42578125" customWidth="1"/>
    <col min="3336" max="3340" width="1.28515625" customWidth="1"/>
    <col min="3341" max="3341" width="10.85546875" customWidth="1"/>
    <col min="3342" max="3342" width="17.42578125" customWidth="1"/>
    <col min="3343" max="3343" width="3.140625" customWidth="1"/>
    <col min="3344" max="3344" width="4.7109375" customWidth="1"/>
    <col min="3345" max="3345" width="8.7109375" customWidth="1"/>
    <col min="3346" max="3346" width="2" customWidth="1"/>
    <col min="3347" max="3347" width="1.28515625" customWidth="1"/>
    <col min="3348" max="3348" width="5.42578125" customWidth="1"/>
    <col min="3349" max="3349" width="6.28515625" customWidth="1"/>
    <col min="3350" max="3350" width="2.28515625" customWidth="1"/>
    <col min="3351" max="3351" width="1" customWidth="1"/>
    <col min="3352" max="3352" width="2.5703125" customWidth="1"/>
    <col min="3353" max="3353" width="1.7109375" customWidth="1"/>
    <col min="3354" max="3354" width="2" customWidth="1"/>
    <col min="3355" max="3355" width="1.28515625" customWidth="1"/>
    <col min="3356" max="3356" width="5.140625" customWidth="1"/>
    <col min="3357" max="3357" width="1" customWidth="1"/>
    <col min="3358" max="3358" width="2.7109375" customWidth="1"/>
    <col min="3359" max="3359" width="1.28515625" customWidth="1"/>
    <col min="3360" max="3360" width="2.28515625" customWidth="1"/>
    <col min="3361" max="3361" width="1" customWidth="1"/>
    <col min="3362" max="3362" width="1.5703125" customWidth="1"/>
    <col min="3363" max="3363" width="1.42578125" customWidth="1"/>
    <col min="3364" max="3364" width="1" customWidth="1"/>
    <col min="3365" max="3365" width="5.28515625" customWidth="1"/>
    <col min="3366" max="3366" width="6" customWidth="1"/>
    <col min="3585" max="3585" width="1.7109375" customWidth="1"/>
    <col min="3586" max="3586" width="9.85546875" customWidth="1"/>
    <col min="3587" max="3587" width="5.28515625" customWidth="1"/>
    <col min="3588" max="3588" width="3.42578125" customWidth="1"/>
    <col min="3589" max="3589" width="1.28515625" customWidth="1"/>
    <col min="3590" max="3590" width="1.7109375" customWidth="1"/>
    <col min="3591" max="3591" width="1.42578125" customWidth="1"/>
    <col min="3592" max="3596" width="1.28515625" customWidth="1"/>
    <col min="3597" max="3597" width="10.85546875" customWidth="1"/>
    <col min="3598" max="3598" width="17.42578125" customWidth="1"/>
    <col min="3599" max="3599" width="3.140625" customWidth="1"/>
    <col min="3600" max="3600" width="4.7109375" customWidth="1"/>
    <col min="3601" max="3601" width="8.7109375" customWidth="1"/>
    <col min="3602" max="3602" width="2" customWidth="1"/>
    <col min="3603" max="3603" width="1.28515625" customWidth="1"/>
    <col min="3604" max="3604" width="5.42578125" customWidth="1"/>
    <col min="3605" max="3605" width="6.28515625" customWidth="1"/>
    <col min="3606" max="3606" width="2.28515625" customWidth="1"/>
    <col min="3607" max="3607" width="1" customWidth="1"/>
    <col min="3608" max="3608" width="2.5703125" customWidth="1"/>
    <col min="3609" max="3609" width="1.7109375" customWidth="1"/>
    <col min="3610" max="3610" width="2" customWidth="1"/>
    <col min="3611" max="3611" width="1.28515625" customWidth="1"/>
    <col min="3612" max="3612" width="5.140625" customWidth="1"/>
    <col min="3613" max="3613" width="1" customWidth="1"/>
    <col min="3614" max="3614" width="2.7109375" customWidth="1"/>
    <col min="3615" max="3615" width="1.28515625" customWidth="1"/>
    <col min="3616" max="3616" width="2.28515625" customWidth="1"/>
    <col min="3617" max="3617" width="1" customWidth="1"/>
    <col min="3618" max="3618" width="1.5703125" customWidth="1"/>
    <col min="3619" max="3619" width="1.42578125" customWidth="1"/>
    <col min="3620" max="3620" width="1" customWidth="1"/>
    <col min="3621" max="3621" width="5.28515625" customWidth="1"/>
    <col min="3622" max="3622" width="6" customWidth="1"/>
    <col min="3841" max="3841" width="1.7109375" customWidth="1"/>
    <col min="3842" max="3842" width="9.85546875" customWidth="1"/>
    <col min="3843" max="3843" width="5.28515625" customWidth="1"/>
    <col min="3844" max="3844" width="3.42578125" customWidth="1"/>
    <col min="3845" max="3845" width="1.28515625" customWidth="1"/>
    <col min="3846" max="3846" width="1.7109375" customWidth="1"/>
    <col min="3847" max="3847" width="1.42578125" customWidth="1"/>
    <col min="3848" max="3852" width="1.28515625" customWidth="1"/>
    <col min="3853" max="3853" width="10.85546875" customWidth="1"/>
    <col min="3854" max="3854" width="17.42578125" customWidth="1"/>
    <col min="3855" max="3855" width="3.140625" customWidth="1"/>
    <col min="3856" max="3856" width="4.7109375" customWidth="1"/>
    <col min="3857" max="3857" width="8.7109375" customWidth="1"/>
    <col min="3858" max="3858" width="2" customWidth="1"/>
    <col min="3859" max="3859" width="1.28515625" customWidth="1"/>
    <col min="3860" max="3860" width="5.42578125" customWidth="1"/>
    <col min="3861" max="3861" width="6.28515625" customWidth="1"/>
    <col min="3862" max="3862" width="2.28515625" customWidth="1"/>
    <col min="3863" max="3863" width="1" customWidth="1"/>
    <col min="3864" max="3864" width="2.5703125" customWidth="1"/>
    <col min="3865" max="3865" width="1.7109375" customWidth="1"/>
    <col min="3866" max="3866" width="2" customWidth="1"/>
    <col min="3867" max="3867" width="1.28515625" customWidth="1"/>
    <col min="3868" max="3868" width="5.140625" customWidth="1"/>
    <col min="3869" max="3869" width="1" customWidth="1"/>
    <col min="3870" max="3870" width="2.7109375" customWidth="1"/>
    <col min="3871" max="3871" width="1.28515625" customWidth="1"/>
    <col min="3872" max="3872" width="2.28515625" customWidth="1"/>
    <col min="3873" max="3873" width="1" customWidth="1"/>
    <col min="3874" max="3874" width="1.5703125" customWidth="1"/>
    <col min="3875" max="3875" width="1.42578125" customWidth="1"/>
    <col min="3876" max="3876" width="1" customWidth="1"/>
    <col min="3877" max="3877" width="5.28515625" customWidth="1"/>
    <col min="3878" max="3878" width="6" customWidth="1"/>
    <col min="4097" max="4097" width="1.7109375" customWidth="1"/>
    <col min="4098" max="4098" width="9.85546875" customWidth="1"/>
    <col min="4099" max="4099" width="5.28515625" customWidth="1"/>
    <col min="4100" max="4100" width="3.42578125" customWidth="1"/>
    <col min="4101" max="4101" width="1.28515625" customWidth="1"/>
    <col min="4102" max="4102" width="1.7109375" customWidth="1"/>
    <col min="4103" max="4103" width="1.42578125" customWidth="1"/>
    <col min="4104" max="4108" width="1.28515625" customWidth="1"/>
    <col min="4109" max="4109" width="10.85546875" customWidth="1"/>
    <col min="4110" max="4110" width="17.42578125" customWidth="1"/>
    <col min="4111" max="4111" width="3.140625" customWidth="1"/>
    <col min="4112" max="4112" width="4.7109375" customWidth="1"/>
    <col min="4113" max="4113" width="8.7109375" customWidth="1"/>
    <col min="4114" max="4114" width="2" customWidth="1"/>
    <col min="4115" max="4115" width="1.28515625" customWidth="1"/>
    <col min="4116" max="4116" width="5.42578125" customWidth="1"/>
    <col min="4117" max="4117" width="6.28515625" customWidth="1"/>
    <col min="4118" max="4118" width="2.28515625" customWidth="1"/>
    <col min="4119" max="4119" width="1" customWidth="1"/>
    <col min="4120" max="4120" width="2.5703125" customWidth="1"/>
    <col min="4121" max="4121" width="1.7109375" customWidth="1"/>
    <col min="4122" max="4122" width="2" customWidth="1"/>
    <col min="4123" max="4123" width="1.28515625" customWidth="1"/>
    <col min="4124" max="4124" width="5.140625" customWidth="1"/>
    <col min="4125" max="4125" width="1" customWidth="1"/>
    <col min="4126" max="4126" width="2.7109375" customWidth="1"/>
    <col min="4127" max="4127" width="1.28515625" customWidth="1"/>
    <col min="4128" max="4128" width="2.28515625" customWidth="1"/>
    <col min="4129" max="4129" width="1" customWidth="1"/>
    <col min="4130" max="4130" width="1.5703125" customWidth="1"/>
    <col min="4131" max="4131" width="1.42578125" customWidth="1"/>
    <col min="4132" max="4132" width="1" customWidth="1"/>
    <col min="4133" max="4133" width="5.28515625" customWidth="1"/>
    <col min="4134" max="4134" width="6" customWidth="1"/>
    <col min="4353" max="4353" width="1.7109375" customWidth="1"/>
    <col min="4354" max="4354" width="9.85546875" customWidth="1"/>
    <col min="4355" max="4355" width="5.28515625" customWidth="1"/>
    <col min="4356" max="4356" width="3.42578125" customWidth="1"/>
    <col min="4357" max="4357" width="1.28515625" customWidth="1"/>
    <col min="4358" max="4358" width="1.7109375" customWidth="1"/>
    <col min="4359" max="4359" width="1.42578125" customWidth="1"/>
    <col min="4360" max="4364" width="1.28515625" customWidth="1"/>
    <col min="4365" max="4365" width="10.85546875" customWidth="1"/>
    <col min="4366" max="4366" width="17.42578125" customWidth="1"/>
    <col min="4367" max="4367" width="3.140625" customWidth="1"/>
    <col min="4368" max="4368" width="4.7109375" customWidth="1"/>
    <col min="4369" max="4369" width="8.7109375" customWidth="1"/>
    <col min="4370" max="4370" width="2" customWidth="1"/>
    <col min="4371" max="4371" width="1.28515625" customWidth="1"/>
    <col min="4372" max="4372" width="5.42578125" customWidth="1"/>
    <col min="4373" max="4373" width="6.28515625" customWidth="1"/>
    <col min="4374" max="4374" width="2.28515625" customWidth="1"/>
    <col min="4375" max="4375" width="1" customWidth="1"/>
    <col min="4376" max="4376" width="2.5703125" customWidth="1"/>
    <col min="4377" max="4377" width="1.7109375" customWidth="1"/>
    <col min="4378" max="4378" width="2" customWidth="1"/>
    <col min="4379" max="4379" width="1.28515625" customWidth="1"/>
    <col min="4380" max="4380" width="5.140625" customWidth="1"/>
    <col min="4381" max="4381" width="1" customWidth="1"/>
    <col min="4382" max="4382" width="2.7109375" customWidth="1"/>
    <col min="4383" max="4383" width="1.28515625" customWidth="1"/>
    <col min="4384" max="4384" width="2.28515625" customWidth="1"/>
    <col min="4385" max="4385" width="1" customWidth="1"/>
    <col min="4386" max="4386" width="1.5703125" customWidth="1"/>
    <col min="4387" max="4387" width="1.42578125" customWidth="1"/>
    <col min="4388" max="4388" width="1" customWidth="1"/>
    <col min="4389" max="4389" width="5.28515625" customWidth="1"/>
    <col min="4390" max="4390" width="6" customWidth="1"/>
    <col min="4609" max="4609" width="1.7109375" customWidth="1"/>
    <col min="4610" max="4610" width="9.85546875" customWidth="1"/>
    <col min="4611" max="4611" width="5.28515625" customWidth="1"/>
    <col min="4612" max="4612" width="3.42578125" customWidth="1"/>
    <col min="4613" max="4613" width="1.28515625" customWidth="1"/>
    <col min="4614" max="4614" width="1.7109375" customWidth="1"/>
    <col min="4615" max="4615" width="1.42578125" customWidth="1"/>
    <col min="4616" max="4620" width="1.28515625" customWidth="1"/>
    <col min="4621" max="4621" width="10.85546875" customWidth="1"/>
    <col min="4622" max="4622" width="17.42578125" customWidth="1"/>
    <col min="4623" max="4623" width="3.140625" customWidth="1"/>
    <col min="4624" max="4624" width="4.7109375" customWidth="1"/>
    <col min="4625" max="4625" width="8.7109375" customWidth="1"/>
    <col min="4626" max="4626" width="2" customWidth="1"/>
    <col min="4627" max="4627" width="1.28515625" customWidth="1"/>
    <col min="4628" max="4628" width="5.42578125" customWidth="1"/>
    <col min="4629" max="4629" width="6.28515625" customWidth="1"/>
    <col min="4630" max="4630" width="2.28515625" customWidth="1"/>
    <col min="4631" max="4631" width="1" customWidth="1"/>
    <col min="4632" max="4632" width="2.5703125" customWidth="1"/>
    <col min="4633" max="4633" width="1.7109375" customWidth="1"/>
    <col min="4634" max="4634" width="2" customWidth="1"/>
    <col min="4635" max="4635" width="1.28515625" customWidth="1"/>
    <col min="4636" max="4636" width="5.140625" customWidth="1"/>
    <col min="4637" max="4637" width="1" customWidth="1"/>
    <col min="4638" max="4638" width="2.7109375" customWidth="1"/>
    <col min="4639" max="4639" width="1.28515625" customWidth="1"/>
    <col min="4640" max="4640" width="2.28515625" customWidth="1"/>
    <col min="4641" max="4641" width="1" customWidth="1"/>
    <col min="4642" max="4642" width="1.5703125" customWidth="1"/>
    <col min="4643" max="4643" width="1.42578125" customWidth="1"/>
    <col min="4644" max="4644" width="1" customWidth="1"/>
    <col min="4645" max="4645" width="5.28515625" customWidth="1"/>
    <col min="4646" max="4646" width="6" customWidth="1"/>
    <col min="4865" max="4865" width="1.7109375" customWidth="1"/>
    <col min="4866" max="4866" width="9.85546875" customWidth="1"/>
    <col min="4867" max="4867" width="5.28515625" customWidth="1"/>
    <col min="4868" max="4868" width="3.42578125" customWidth="1"/>
    <col min="4869" max="4869" width="1.28515625" customWidth="1"/>
    <col min="4870" max="4870" width="1.7109375" customWidth="1"/>
    <col min="4871" max="4871" width="1.42578125" customWidth="1"/>
    <col min="4872" max="4876" width="1.28515625" customWidth="1"/>
    <col min="4877" max="4877" width="10.85546875" customWidth="1"/>
    <col min="4878" max="4878" width="17.42578125" customWidth="1"/>
    <col min="4879" max="4879" width="3.140625" customWidth="1"/>
    <col min="4880" max="4880" width="4.7109375" customWidth="1"/>
    <col min="4881" max="4881" width="8.7109375" customWidth="1"/>
    <col min="4882" max="4882" width="2" customWidth="1"/>
    <col min="4883" max="4883" width="1.28515625" customWidth="1"/>
    <col min="4884" max="4884" width="5.42578125" customWidth="1"/>
    <col min="4885" max="4885" width="6.28515625" customWidth="1"/>
    <col min="4886" max="4886" width="2.28515625" customWidth="1"/>
    <col min="4887" max="4887" width="1" customWidth="1"/>
    <col min="4888" max="4888" width="2.5703125" customWidth="1"/>
    <col min="4889" max="4889" width="1.7109375" customWidth="1"/>
    <col min="4890" max="4890" width="2" customWidth="1"/>
    <col min="4891" max="4891" width="1.28515625" customWidth="1"/>
    <col min="4892" max="4892" width="5.140625" customWidth="1"/>
    <col min="4893" max="4893" width="1" customWidth="1"/>
    <col min="4894" max="4894" width="2.7109375" customWidth="1"/>
    <col min="4895" max="4895" width="1.28515625" customWidth="1"/>
    <col min="4896" max="4896" width="2.28515625" customWidth="1"/>
    <col min="4897" max="4897" width="1" customWidth="1"/>
    <col min="4898" max="4898" width="1.5703125" customWidth="1"/>
    <col min="4899" max="4899" width="1.42578125" customWidth="1"/>
    <col min="4900" max="4900" width="1" customWidth="1"/>
    <col min="4901" max="4901" width="5.28515625" customWidth="1"/>
    <col min="4902" max="4902" width="6" customWidth="1"/>
    <col min="5121" max="5121" width="1.7109375" customWidth="1"/>
    <col min="5122" max="5122" width="9.85546875" customWidth="1"/>
    <col min="5123" max="5123" width="5.28515625" customWidth="1"/>
    <col min="5124" max="5124" width="3.42578125" customWidth="1"/>
    <col min="5125" max="5125" width="1.28515625" customWidth="1"/>
    <col min="5126" max="5126" width="1.7109375" customWidth="1"/>
    <col min="5127" max="5127" width="1.42578125" customWidth="1"/>
    <col min="5128" max="5132" width="1.28515625" customWidth="1"/>
    <col min="5133" max="5133" width="10.85546875" customWidth="1"/>
    <col min="5134" max="5134" width="17.42578125" customWidth="1"/>
    <col min="5135" max="5135" width="3.140625" customWidth="1"/>
    <col min="5136" max="5136" width="4.7109375" customWidth="1"/>
    <col min="5137" max="5137" width="8.7109375" customWidth="1"/>
    <col min="5138" max="5138" width="2" customWidth="1"/>
    <col min="5139" max="5139" width="1.28515625" customWidth="1"/>
    <col min="5140" max="5140" width="5.42578125" customWidth="1"/>
    <col min="5141" max="5141" width="6.28515625" customWidth="1"/>
    <col min="5142" max="5142" width="2.28515625" customWidth="1"/>
    <col min="5143" max="5143" width="1" customWidth="1"/>
    <col min="5144" max="5144" width="2.5703125" customWidth="1"/>
    <col min="5145" max="5145" width="1.7109375" customWidth="1"/>
    <col min="5146" max="5146" width="2" customWidth="1"/>
    <col min="5147" max="5147" width="1.28515625" customWidth="1"/>
    <col min="5148" max="5148" width="5.140625" customWidth="1"/>
    <col min="5149" max="5149" width="1" customWidth="1"/>
    <col min="5150" max="5150" width="2.7109375" customWidth="1"/>
    <col min="5151" max="5151" width="1.28515625" customWidth="1"/>
    <col min="5152" max="5152" width="2.28515625" customWidth="1"/>
    <col min="5153" max="5153" width="1" customWidth="1"/>
    <col min="5154" max="5154" width="1.5703125" customWidth="1"/>
    <col min="5155" max="5155" width="1.42578125" customWidth="1"/>
    <col min="5156" max="5156" width="1" customWidth="1"/>
    <col min="5157" max="5157" width="5.28515625" customWidth="1"/>
    <col min="5158" max="5158" width="6" customWidth="1"/>
    <col min="5377" max="5377" width="1.7109375" customWidth="1"/>
    <col min="5378" max="5378" width="9.85546875" customWidth="1"/>
    <col min="5379" max="5379" width="5.28515625" customWidth="1"/>
    <col min="5380" max="5380" width="3.42578125" customWidth="1"/>
    <col min="5381" max="5381" width="1.28515625" customWidth="1"/>
    <col min="5382" max="5382" width="1.7109375" customWidth="1"/>
    <col min="5383" max="5383" width="1.42578125" customWidth="1"/>
    <col min="5384" max="5388" width="1.28515625" customWidth="1"/>
    <col min="5389" max="5389" width="10.85546875" customWidth="1"/>
    <col min="5390" max="5390" width="17.42578125" customWidth="1"/>
    <col min="5391" max="5391" width="3.140625" customWidth="1"/>
    <col min="5392" max="5392" width="4.7109375" customWidth="1"/>
    <col min="5393" max="5393" width="8.7109375" customWidth="1"/>
    <col min="5394" max="5394" width="2" customWidth="1"/>
    <col min="5395" max="5395" width="1.28515625" customWidth="1"/>
    <col min="5396" max="5396" width="5.42578125" customWidth="1"/>
    <col min="5397" max="5397" width="6.28515625" customWidth="1"/>
    <col min="5398" max="5398" width="2.28515625" customWidth="1"/>
    <col min="5399" max="5399" width="1" customWidth="1"/>
    <col min="5400" max="5400" width="2.5703125" customWidth="1"/>
    <col min="5401" max="5401" width="1.7109375" customWidth="1"/>
    <col min="5402" max="5402" width="2" customWidth="1"/>
    <col min="5403" max="5403" width="1.28515625" customWidth="1"/>
    <col min="5404" max="5404" width="5.140625" customWidth="1"/>
    <col min="5405" max="5405" width="1" customWidth="1"/>
    <col min="5406" max="5406" width="2.7109375" customWidth="1"/>
    <col min="5407" max="5407" width="1.28515625" customWidth="1"/>
    <col min="5408" max="5408" width="2.28515625" customWidth="1"/>
    <col min="5409" max="5409" width="1" customWidth="1"/>
    <col min="5410" max="5410" width="1.5703125" customWidth="1"/>
    <col min="5411" max="5411" width="1.42578125" customWidth="1"/>
    <col min="5412" max="5412" width="1" customWidth="1"/>
    <col min="5413" max="5413" width="5.28515625" customWidth="1"/>
    <col min="5414" max="5414" width="6" customWidth="1"/>
    <col min="5633" max="5633" width="1.7109375" customWidth="1"/>
    <col min="5634" max="5634" width="9.85546875" customWidth="1"/>
    <col min="5635" max="5635" width="5.28515625" customWidth="1"/>
    <col min="5636" max="5636" width="3.42578125" customWidth="1"/>
    <col min="5637" max="5637" width="1.28515625" customWidth="1"/>
    <col min="5638" max="5638" width="1.7109375" customWidth="1"/>
    <col min="5639" max="5639" width="1.42578125" customWidth="1"/>
    <col min="5640" max="5644" width="1.28515625" customWidth="1"/>
    <col min="5645" max="5645" width="10.85546875" customWidth="1"/>
    <col min="5646" max="5646" width="17.42578125" customWidth="1"/>
    <col min="5647" max="5647" width="3.140625" customWidth="1"/>
    <col min="5648" max="5648" width="4.7109375" customWidth="1"/>
    <col min="5649" max="5649" width="8.7109375" customWidth="1"/>
    <col min="5650" max="5650" width="2" customWidth="1"/>
    <col min="5651" max="5651" width="1.28515625" customWidth="1"/>
    <col min="5652" max="5652" width="5.42578125" customWidth="1"/>
    <col min="5653" max="5653" width="6.28515625" customWidth="1"/>
    <col min="5654" max="5654" width="2.28515625" customWidth="1"/>
    <col min="5655" max="5655" width="1" customWidth="1"/>
    <col min="5656" max="5656" width="2.5703125" customWidth="1"/>
    <col min="5657" max="5657" width="1.7109375" customWidth="1"/>
    <col min="5658" max="5658" width="2" customWidth="1"/>
    <col min="5659" max="5659" width="1.28515625" customWidth="1"/>
    <col min="5660" max="5660" width="5.140625" customWidth="1"/>
    <col min="5661" max="5661" width="1" customWidth="1"/>
    <col min="5662" max="5662" width="2.7109375" customWidth="1"/>
    <col min="5663" max="5663" width="1.28515625" customWidth="1"/>
    <col min="5664" max="5664" width="2.28515625" customWidth="1"/>
    <col min="5665" max="5665" width="1" customWidth="1"/>
    <col min="5666" max="5666" width="1.5703125" customWidth="1"/>
    <col min="5667" max="5667" width="1.42578125" customWidth="1"/>
    <col min="5668" max="5668" width="1" customWidth="1"/>
    <col min="5669" max="5669" width="5.28515625" customWidth="1"/>
    <col min="5670" max="5670" width="6" customWidth="1"/>
    <col min="5889" max="5889" width="1.7109375" customWidth="1"/>
    <col min="5890" max="5890" width="9.85546875" customWidth="1"/>
    <col min="5891" max="5891" width="5.28515625" customWidth="1"/>
    <col min="5892" max="5892" width="3.42578125" customWidth="1"/>
    <col min="5893" max="5893" width="1.28515625" customWidth="1"/>
    <col min="5894" max="5894" width="1.7109375" customWidth="1"/>
    <col min="5895" max="5895" width="1.42578125" customWidth="1"/>
    <col min="5896" max="5900" width="1.28515625" customWidth="1"/>
    <col min="5901" max="5901" width="10.85546875" customWidth="1"/>
    <col min="5902" max="5902" width="17.42578125" customWidth="1"/>
    <col min="5903" max="5903" width="3.140625" customWidth="1"/>
    <col min="5904" max="5904" width="4.7109375" customWidth="1"/>
    <col min="5905" max="5905" width="8.7109375" customWidth="1"/>
    <col min="5906" max="5906" width="2" customWidth="1"/>
    <col min="5907" max="5907" width="1.28515625" customWidth="1"/>
    <col min="5908" max="5908" width="5.42578125" customWidth="1"/>
    <col min="5909" max="5909" width="6.28515625" customWidth="1"/>
    <col min="5910" max="5910" width="2.28515625" customWidth="1"/>
    <col min="5911" max="5911" width="1" customWidth="1"/>
    <col min="5912" max="5912" width="2.5703125" customWidth="1"/>
    <col min="5913" max="5913" width="1.7109375" customWidth="1"/>
    <col min="5914" max="5914" width="2" customWidth="1"/>
    <col min="5915" max="5915" width="1.28515625" customWidth="1"/>
    <col min="5916" max="5916" width="5.140625" customWidth="1"/>
    <col min="5917" max="5917" width="1" customWidth="1"/>
    <col min="5918" max="5918" width="2.7109375" customWidth="1"/>
    <col min="5919" max="5919" width="1.28515625" customWidth="1"/>
    <col min="5920" max="5920" width="2.28515625" customWidth="1"/>
    <col min="5921" max="5921" width="1" customWidth="1"/>
    <col min="5922" max="5922" width="1.5703125" customWidth="1"/>
    <col min="5923" max="5923" width="1.42578125" customWidth="1"/>
    <col min="5924" max="5924" width="1" customWidth="1"/>
    <col min="5925" max="5925" width="5.28515625" customWidth="1"/>
    <col min="5926" max="5926" width="6" customWidth="1"/>
    <col min="6145" max="6145" width="1.7109375" customWidth="1"/>
    <col min="6146" max="6146" width="9.85546875" customWidth="1"/>
    <col min="6147" max="6147" width="5.28515625" customWidth="1"/>
    <col min="6148" max="6148" width="3.42578125" customWidth="1"/>
    <col min="6149" max="6149" width="1.28515625" customWidth="1"/>
    <col min="6150" max="6150" width="1.7109375" customWidth="1"/>
    <col min="6151" max="6151" width="1.42578125" customWidth="1"/>
    <col min="6152" max="6156" width="1.28515625" customWidth="1"/>
    <col min="6157" max="6157" width="10.85546875" customWidth="1"/>
    <col min="6158" max="6158" width="17.42578125" customWidth="1"/>
    <col min="6159" max="6159" width="3.140625" customWidth="1"/>
    <col min="6160" max="6160" width="4.7109375" customWidth="1"/>
    <col min="6161" max="6161" width="8.7109375" customWidth="1"/>
    <col min="6162" max="6162" width="2" customWidth="1"/>
    <col min="6163" max="6163" width="1.28515625" customWidth="1"/>
    <col min="6164" max="6164" width="5.42578125" customWidth="1"/>
    <col min="6165" max="6165" width="6.28515625" customWidth="1"/>
    <col min="6166" max="6166" width="2.28515625" customWidth="1"/>
    <col min="6167" max="6167" width="1" customWidth="1"/>
    <col min="6168" max="6168" width="2.5703125" customWidth="1"/>
    <col min="6169" max="6169" width="1.7109375" customWidth="1"/>
    <col min="6170" max="6170" width="2" customWidth="1"/>
    <col min="6171" max="6171" width="1.28515625" customWidth="1"/>
    <col min="6172" max="6172" width="5.140625" customWidth="1"/>
    <col min="6173" max="6173" width="1" customWidth="1"/>
    <col min="6174" max="6174" width="2.7109375" customWidth="1"/>
    <col min="6175" max="6175" width="1.28515625" customWidth="1"/>
    <col min="6176" max="6176" width="2.28515625" customWidth="1"/>
    <col min="6177" max="6177" width="1" customWidth="1"/>
    <col min="6178" max="6178" width="1.5703125" customWidth="1"/>
    <col min="6179" max="6179" width="1.42578125" customWidth="1"/>
    <col min="6180" max="6180" width="1" customWidth="1"/>
    <col min="6181" max="6181" width="5.28515625" customWidth="1"/>
    <col min="6182" max="6182" width="6" customWidth="1"/>
    <col min="6401" max="6401" width="1.7109375" customWidth="1"/>
    <col min="6402" max="6402" width="9.85546875" customWidth="1"/>
    <col min="6403" max="6403" width="5.28515625" customWidth="1"/>
    <col min="6404" max="6404" width="3.42578125" customWidth="1"/>
    <col min="6405" max="6405" width="1.28515625" customWidth="1"/>
    <col min="6406" max="6406" width="1.7109375" customWidth="1"/>
    <col min="6407" max="6407" width="1.42578125" customWidth="1"/>
    <col min="6408" max="6412" width="1.28515625" customWidth="1"/>
    <col min="6413" max="6413" width="10.85546875" customWidth="1"/>
    <col min="6414" max="6414" width="17.42578125" customWidth="1"/>
    <col min="6415" max="6415" width="3.140625" customWidth="1"/>
    <col min="6416" max="6416" width="4.7109375" customWidth="1"/>
    <col min="6417" max="6417" width="8.7109375" customWidth="1"/>
    <col min="6418" max="6418" width="2" customWidth="1"/>
    <col min="6419" max="6419" width="1.28515625" customWidth="1"/>
    <col min="6420" max="6420" width="5.42578125" customWidth="1"/>
    <col min="6421" max="6421" width="6.28515625" customWidth="1"/>
    <col min="6422" max="6422" width="2.28515625" customWidth="1"/>
    <col min="6423" max="6423" width="1" customWidth="1"/>
    <col min="6424" max="6424" width="2.5703125" customWidth="1"/>
    <col min="6425" max="6425" width="1.7109375" customWidth="1"/>
    <col min="6426" max="6426" width="2" customWidth="1"/>
    <col min="6427" max="6427" width="1.28515625" customWidth="1"/>
    <col min="6428" max="6428" width="5.140625" customWidth="1"/>
    <col min="6429" max="6429" width="1" customWidth="1"/>
    <col min="6430" max="6430" width="2.7109375" customWidth="1"/>
    <col min="6431" max="6431" width="1.28515625" customWidth="1"/>
    <col min="6432" max="6432" width="2.28515625" customWidth="1"/>
    <col min="6433" max="6433" width="1" customWidth="1"/>
    <col min="6434" max="6434" width="1.5703125" customWidth="1"/>
    <col min="6435" max="6435" width="1.42578125" customWidth="1"/>
    <col min="6436" max="6436" width="1" customWidth="1"/>
    <col min="6437" max="6437" width="5.28515625" customWidth="1"/>
    <col min="6438" max="6438" width="6" customWidth="1"/>
    <col min="6657" max="6657" width="1.7109375" customWidth="1"/>
    <col min="6658" max="6658" width="9.85546875" customWidth="1"/>
    <col min="6659" max="6659" width="5.28515625" customWidth="1"/>
    <col min="6660" max="6660" width="3.42578125" customWidth="1"/>
    <col min="6661" max="6661" width="1.28515625" customWidth="1"/>
    <col min="6662" max="6662" width="1.7109375" customWidth="1"/>
    <col min="6663" max="6663" width="1.42578125" customWidth="1"/>
    <col min="6664" max="6668" width="1.28515625" customWidth="1"/>
    <col min="6669" max="6669" width="10.85546875" customWidth="1"/>
    <col min="6670" max="6670" width="17.42578125" customWidth="1"/>
    <col min="6671" max="6671" width="3.140625" customWidth="1"/>
    <col min="6672" max="6672" width="4.7109375" customWidth="1"/>
    <col min="6673" max="6673" width="8.7109375" customWidth="1"/>
    <col min="6674" max="6674" width="2" customWidth="1"/>
    <col min="6675" max="6675" width="1.28515625" customWidth="1"/>
    <col min="6676" max="6676" width="5.42578125" customWidth="1"/>
    <col min="6677" max="6677" width="6.28515625" customWidth="1"/>
    <col min="6678" max="6678" width="2.28515625" customWidth="1"/>
    <col min="6679" max="6679" width="1" customWidth="1"/>
    <col min="6680" max="6680" width="2.5703125" customWidth="1"/>
    <col min="6681" max="6681" width="1.7109375" customWidth="1"/>
    <col min="6682" max="6682" width="2" customWidth="1"/>
    <col min="6683" max="6683" width="1.28515625" customWidth="1"/>
    <col min="6684" max="6684" width="5.140625" customWidth="1"/>
    <col min="6685" max="6685" width="1" customWidth="1"/>
    <col min="6686" max="6686" width="2.7109375" customWidth="1"/>
    <col min="6687" max="6687" width="1.28515625" customWidth="1"/>
    <col min="6688" max="6688" width="2.28515625" customWidth="1"/>
    <col min="6689" max="6689" width="1" customWidth="1"/>
    <col min="6690" max="6690" width="1.5703125" customWidth="1"/>
    <col min="6691" max="6691" width="1.42578125" customWidth="1"/>
    <col min="6692" max="6692" width="1" customWidth="1"/>
    <col min="6693" max="6693" width="5.28515625" customWidth="1"/>
    <col min="6694" max="6694" width="6" customWidth="1"/>
    <col min="6913" max="6913" width="1.7109375" customWidth="1"/>
    <col min="6914" max="6914" width="9.85546875" customWidth="1"/>
    <col min="6915" max="6915" width="5.28515625" customWidth="1"/>
    <col min="6916" max="6916" width="3.42578125" customWidth="1"/>
    <col min="6917" max="6917" width="1.28515625" customWidth="1"/>
    <col min="6918" max="6918" width="1.7109375" customWidth="1"/>
    <col min="6919" max="6919" width="1.42578125" customWidth="1"/>
    <col min="6920" max="6924" width="1.28515625" customWidth="1"/>
    <col min="6925" max="6925" width="10.85546875" customWidth="1"/>
    <col min="6926" max="6926" width="17.42578125" customWidth="1"/>
    <col min="6927" max="6927" width="3.140625" customWidth="1"/>
    <col min="6928" max="6928" width="4.7109375" customWidth="1"/>
    <col min="6929" max="6929" width="8.7109375" customWidth="1"/>
    <col min="6930" max="6930" width="2" customWidth="1"/>
    <col min="6931" max="6931" width="1.28515625" customWidth="1"/>
    <col min="6932" max="6932" width="5.42578125" customWidth="1"/>
    <col min="6933" max="6933" width="6.28515625" customWidth="1"/>
    <col min="6934" max="6934" width="2.28515625" customWidth="1"/>
    <col min="6935" max="6935" width="1" customWidth="1"/>
    <col min="6936" max="6936" width="2.5703125" customWidth="1"/>
    <col min="6937" max="6937" width="1.7109375" customWidth="1"/>
    <col min="6938" max="6938" width="2" customWidth="1"/>
    <col min="6939" max="6939" width="1.28515625" customWidth="1"/>
    <col min="6940" max="6940" width="5.140625" customWidth="1"/>
    <col min="6941" max="6941" width="1" customWidth="1"/>
    <col min="6942" max="6942" width="2.7109375" customWidth="1"/>
    <col min="6943" max="6943" width="1.28515625" customWidth="1"/>
    <col min="6944" max="6944" width="2.28515625" customWidth="1"/>
    <col min="6945" max="6945" width="1" customWidth="1"/>
    <col min="6946" max="6946" width="1.5703125" customWidth="1"/>
    <col min="6947" max="6947" width="1.42578125" customWidth="1"/>
    <col min="6948" max="6948" width="1" customWidth="1"/>
    <col min="6949" max="6949" width="5.28515625" customWidth="1"/>
    <col min="6950" max="6950" width="6" customWidth="1"/>
    <col min="7169" max="7169" width="1.7109375" customWidth="1"/>
    <col min="7170" max="7170" width="9.85546875" customWidth="1"/>
    <col min="7171" max="7171" width="5.28515625" customWidth="1"/>
    <col min="7172" max="7172" width="3.42578125" customWidth="1"/>
    <col min="7173" max="7173" width="1.28515625" customWidth="1"/>
    <col min="7174" max="7174" width="1.7109375" customWidth="1"/>
    <col min="7175" max="7175" width="1.42578125" customWidth="1"/>
    <col min="7176" max="7180" width="1.28515625" customWidth="1"/>
    <col min="7181" max="7181" width="10.85546875" customWidth="1"/>
    <col min="7182" max="7182" width="17.42578125" customWidth="1"/>
    <col min="7183" max="7183" width="3.140625" customWidth="1"/>
    <col min="7184" max="7184" width="4.7109375" customWidth="1"/>
    <col min="7185" max="7185" width="8.7109375" customWidth="1"/>
    <col min="7186" max="7186" width="2" customWidth="1"/>
    <col min="7187" max="7187" width="1.28515625" customWidth="1"/>
    <col min="7188" max="7188" width="5.42578125" customWidth="1"/>
    <col min="7189" max="7189" width="6.28515625" customWidth="1"/>
    <col min="7190" max="7190" width="2.28515625" customWidth="1"/>
    <col min="7191" max="7191" width="1" customWidth="1"/>
    <col min="7192" max="7192" width="2.5703125" customWidth="1"/>
    <col min="7193" max="7193" width="1.7109375" customWidth="1"/>
    <col min="7194" max="7194" width="2" customWidth="1"/>
    <col min="7195" max="7195" width="1.28515625" customWidth="1"/>
    <col min="7196" max="7196" width="5.140625" customWidth="1"/>
    <col min="7197" max="7197" width="1" customWidth="1"/>
    <col min="7198" max="7198" width="2.7109375" customWidth="1"/>
    <col min="7199" max="7199" width="1.28515625" customWidth="1"/>
    <col min="7200" max="7200" width="2.28515625" customWidth="1"/>
    <col min="7201" max="7201" width="1" customWidth="1"/>
    <col min="7202" max="7202" width="1.5703125" customWidth="1"/>
    <col min="7203" max="7203" width="1.42578125" customWidth="1"/>
    <col min="7204" max="7204" width="1" customWidth="1"/>
    <col min="7205" max="7205" width="5.28515625" customWidth="1"/>
    <col min="7206" max="7206" width="6" customWidth="1"/>
    <col min="7425" max="7425" width="1.7109375" customWidth="1"/>
    <col min="7426" max="7426" width="9.85546875" customWidth="1"/>
    <col min="7427" max="7427" width="5.28515625" customWidth="1"/>
    <col min="7428" max="7428" width="3.42578125" customWidth="1"/>
    <col min="7429" max="7429" width="1.28515625" customWidth="1"/>
    <col min="7430" max="7430" width="1.7109375" customWidth="1"/>
    <col min="7431" max="7431" width="1.42578125" customWidth="1"/>
    <col min="7432" max="7436" width="1.28515625" customWidth="1"/>
    <col min="7437" max="7437" width="10.85546875" customWidth="1"/>
    <col min="7438" max="7438" width="17.42578125" customWidth="1"/>
    <col min="7439" max="7439" width="3.140625" customWidth="1"/>
    <col min="7440" max="7440" width="4.7109375" customWidth="1"/>
    <col min="7441" max="7441" width="8.7109375" customWidth="1"/>
    <col min="7442" max="7442" width="2" customWidth="1"/>
    <col min="7443" max="7443" width="1.28515625" customWidth="1"/>
    <col min="7444" max="7444" width="5.42578125" customWidth="1"/>
    <col min="7445" max="7445" width="6.28515625" customWidth="1"/>
    <col min="7446" max="7446" width="2.28515625" customWidth="1"/>
    <col min="7447" max="7447" width="1" customWidth="1"/>
    <col min="7448" max="7448" width="2.5703125" customWidth="1"/>
    <col min="7449" max="7449" width="1.7109375" customWidth="1"/>
    <col min="7450" max="7450" width="2" customWidth="1"/>
    <col min="7451" max="7451" width="1.28515625" customWidth="1"/>
    <col min="7452" max="7452" width="5.140625" customWidth="1"/>
    <col min="7453" max="7453" width="1" customWidth="1"/>
    <col min="7454" max="7454" width="2.7109375" customWidth="1"/>
    <col min="7455" max="7455" width="1.28515625" customWidth="1"/>
    <col min="7456" max="7456" width="2.28515625" customWidth="1"/>
    <col min="7457" max="7457" width="1" customWidth="1"/>
    <col min="7458" max="7458" width="1.5703125" customWidth="1"/>
    <col min="7459" max="7459" width="1.42578125" customWidth="1"/>
    <col min="7460" max="7460" width="1" customWidth="1"/>
    <col min="7461" max="7461" width="5.28515625" customWidth="1"/>
    <col min="7462" max="7462" width="6" customWidth="1"/>
    <col min="7681" max="7681" width="1.7109375" customWidth="1"/>
    <col min="7682" max="7682" width="9.85546875" customWidth="1"/>
    <col min="7683" max="7683" width="5.28515625" customWidth="1"/>
    <col min="7684" max="7684" width="3.42578125" customWidth="1"/>
    <col min="7685" max="7685" width="1.28515625" customWidth="1"/>
    <col min="7686" max="7686" width="1.7109375" customWidth="1"/>
    <col min="7687" max="7687" width="1.42578125" customWidth="1"/>
    <col min="7688" max="7692" width="1.28515625" customWidth="1"/>
    <col min="7693" max="7693" width="10.85546875" customWidth="1"/>
    <col min="7694" max="7694" width="17.42578125" customWidth="1"/>
    <col min="7695" max="7695" width="3.140625" customWidth="1"/>
    <col min="7696" max="7696" width="4.7109375" customWidth="1"/>
    <col min="7697" max="7697" width="8.7109375" customWidth="1"/>
    <col min="7698" max="7698" width="2" customWidth="1"/>
    <col min="7699" max="7699" width="1.28515625" customWidth="1"/>
    <col min="7700" max="7700" width="5.42578125" customWidth="1"/>
    <col min="7701" max="7701" width="6.28515625" customWidth="1"/>
    <col min="7702" max="7702" width="2.28515625" customWidth="1"/>
    <col min="7703" max="7703" width="1" customWidth="1"/>
    <col min="7704" max="7704" width="2.5703125" customWidth="1"/>
    <col min="7705" max="7705" width="1.7109375" customWidth="1"/>
    <col min="7706" max="7706" width="2" customWidth="1"/>
    <col min="7707" max="7707" width="1.28515625" customWidth="1"/>
    <col min="7708" max="7708" width="5.140625" customWidth="1"/>
    <col min="7709" max="7709" width="1" customWidth="1"/>
    <col min="7710" max="7710" width="2.7109375" customWidth="1"/>
    <col min="7711" max="7711" width="1.28515625" customWidth="1"/>
    <col min="7712" max="7712" width="2.28515625" customWidth="1"/>
    <col min="7713" max="7713" width="1" customWidth="1"/>
    <col min="7714" max="7714" width="1.5703125" customWidth="1"/>
    <col min="7715" max="7715" width="1.42578125" customWidth="1"/>
    <col min="7716" max="7716" width="1" customWidth="1"/>
    <col min="7717" max="7717" width="5.28515625" customWidth="1"/>
    <col min="7718" max="7718" width="6" customWidth="1"/>
    <col min="7937" max="7937" width="1.7109375" customWidth="1"/>
    <col min="7938" max="7938" width="9.85546875" customWidth="1"/>
    <col min="7939" max="7939" width="5.28515625" customWidth="1"/>
    <col min="7940" max="7940" width="3.42578125" customWidth="1"/>
    <col min="7941" max="7941" width="1.28515625" customWidth="1"/>
    <col min="7942" max="7942" width="1.7109375" customWidth="1"/>
    <col min="7943" max="7943" width="1.42578125" customWidth="1"/>
    <col min="7944" max="7948" width="1.28515625" customWidth="1"/>
    <col min="7949" max="7949" width="10.85546875" customWidth="1"/>
    <col min="7950" max="7950" width="17.42578125" customWidth="1"/>
    <col min="7951" max="7951" width="3.140625" customWidth="1"/>
    <col min="7952" max="7952" width="4.7109375" customWidth="1"/>
    <col min="7953" max="7953" width="8.7109375" customWidth="1"/>
    <col min="7954" max="7954" width="2" customWidth="1"/>
    <col min="7955" max="7955" width="1.28515625" customWidth="1"/>
    <col min="7956" max="7956" width="5.42578125" customWidth="1"/>
    <col min="7957" max="7957" width="6.28515625" customWidth="1"/>
    <col min="7958" max="7958" width="2.28515625" customWidth="1"/>
    <col min="7959" max="7959" width="1" customWidth="1"/>
    <col min="7960" max="7960" width="2.5703125" customWidth="1"/>
    <col min="7961" max="7961" width="1.7109375" customWidth="1"/>
    <col min="7962" max="7962" width="2" customWidth="1"/>
    <col min="7963" max="7963" width="1.28515625" customWidth="1"/>
    <col min="7964" max="7964" width="5.140625" customWidth="1"/>
    <col min="7965" max="7965" width="1" customWidth="1"/>
    <col min="7966" max="7966" width="2.7109375" customWidth="1"/>
    <col min="7967" max="7967" width="1.28515625" customWidth="1"/>
    <col min="7968" max="7968" width="2.28515625" customWidth="1"/>
    <col min="7969" max="7969" width="1" customWidth="1"/>
    <col min="7970" max="7970" width="1.5703125" customWidth="1"/>
    <col min="7971" max="7971" width="1.42578125" customWidth="1"/>
    <col min="7972" max="7972" width="1" customWidth="1"/>
    <col min="7973" max="7973" width="5.28515625" customWidth="1"/>
    <col min="7974" max="7974" width="6" customWidth="1"/>
    <col min="8193" max="8193" width="1.7109375" customWidth="1"/>
    <col min="8194" max="8194" width="9.85546875" customWidth="1"/>
    <col min="8195" max="8195" width="5.28515625" customWidth="1"/>
    <col min="8196" max="8196" width="3.42578125" customWidth="1"/>
    <col min="8197" max="8197" width="1.28515625" customWidth="1"/>
    <col min="8198" max="8198" width="1.7109375" customWidth="1"/>
    <col min="8199" max="8199" width="1.42578125" customWidth="1"/>
    <col min="8200" max="8204" width="1.28515625" customWidth="1"/>
    <col min="8205" max="8205" width="10.85546875" customWidth="1"/>
    <col min="8206" max="8206" width="17.42578125" customWidth="1"/>
    <col min="8207" max="8207" width="3.140625" customWidth="1"/>
    <col min="8208" max="8208" width="4.7109375" customWidth="1"/>
    <col min="8209" max="8209" width="8.7109375" customWidth="1"/>
    <col min="8210" max="8210" width="2" customWidth="1"/>
    <col min="8211" max="8211" width="1.28515625" customWidth="1"/>
    <col min="8212" max="8212" width="5.42578125" customWidth="1"/>
    <col min="8213" max="8213" width="6.28515625" customWidth="1"/>
    <col min="8214" max="8214" width="2.28515625" customWidth="1"/>
    <col min="8215" max="8215" width="1" customWidth="1"/>
    <col min="8216" max="8216" width="2.5703125" customWidth="1"/>
    <col min="8217" max="8217" width="1.7109375" customWidth="1"/>
    <col min="8218" max="8218" width="2" customWidth="1"/>
    <col min="8219" max="8219" width="1.28515625" customWidth="1"/>
    <col min="8220" max="8220" width="5.140625" customWidth="1"/>
    <col min="8221" max="8221" width="1" customWidth="1"/>
    <col min="8222" max="8222" width="2.7109375" customWidth="1"/>
    <col min="8223" max="8223" width="1.28515625" customWidth="1"/>
    <col min="8224" max="8224" width="2.28515625" customWidth="1"/>
    <col min="8225" max="8225" width="1" customWidth="1"/>
    <col min="8226" max="8226" width="1.5703125" customWidth="1"/>
    <col min="8227" max="8227" width="1.42578125" customWidth="1"/>
    <col min="8228" max="8228" width="1" customWidth="1"/>
    <col min="8229" max="8229" width="5.28515625" customWidth="1"/>
    <col min="8230" max="8230" width="6" customWidth="1"/>
    <col min="8449" max="8449" width="1.7109375" customWidth="1"/>
    <col min="8450" max="8450" width="9.85546875" customWidth="1"/>
    <col min="8451" max="8451" width="5.28515625" customWidth="1"/>
    <col min="8452" max="8452" width="3.42578125" customWidth="1"/>
    <col min="8453" max="8453" width="1.28515625" customWidth="1"/>
    <col min="8454" max="8454" width="1.7109375" customWidth="1"/>
    <col min="8455" max="8455" width="1.42578125" customWidth="1"/>
    <col min="8456" max="8460" width="1.28515625" customWidth="1"/>
    <col min="8461" max="8461" width="10.85546875" customWidth="1"/>
    <col min="8462" max="8462" width="17.42578125" customWidth="1"/>
    <col min="8463" max="8463" width="3.140625" customWidth="1"/>
    <col min="8464" max="8464" width="4.7109375" customWidth="1"/>
    <col min="8465" max="8465" width="8.7109375" customWidth="1"/>
    <col min="8466" max="8466" width="2" customWidth="1"/>
    <col min="8467" max="8467" width="1.28515625" customWidth="1"/>
    <col min="8468" max="8468" width="5.42578125" customWidth="1"/>
    <col min="8469" max="8469" width="6.28515625" customWidth="1"/>
    <col min="8470" max="8470" width="2.28515625" customWidth="1"/>
    <col min="8471" max="8471" width="1" customWidth="1"/>
    <col min="8472" max="8472" width="2.5703125" customWidth="1"/>
    <col min="8473" max="8473" width="1.7109375" customWidth="1"/>
    <col min="8474" max="8474" width="2" customWidth="1"/>
    <col min="8475" max="8475" width="1.28515625" customWidth="1"/>
    <col min="8476" max="8476" width="5.140625" customWidth="1"/>
    <col min="8477" max="8477" width="1" customWidth="1"/>
    <col min="8478" max="8478" width="2.7109375" customWidth="1"/>
    <col min="8479" max="8479" width="1.28515625" customWidth="1"/>
    <col min="8480" max="8480" width="2.28515625" customWidth="1"/>
    <col min="8481" max="8481" width="1" customWidth="1"/>
    <col min="8482" max="8482" width="1.5703125" customWidth="1"/>
    <col min="8483" max="8483" width="1.42578125" customWidth="1"/>
    <col min="8484" max="8484" width="1" customWidth="1"/>
    <col min="8485" max="8485" width="5.28515625" customWidth="1"/>
    <col min="8486" max="8486" width="6" customWidth="1"/>
    <col min="8705" max="8705" width="1.7109375" customWidth="1"/>
    <col min="8706" max="8706" width="9.85546875" customWidth="1"/>
    <col min="8707" max="8707" width="5.28515625" customWidth="1"/>
    <col min="8708" max="8708" width="3.42578125" customWidth="1"/>
    <col min="8709" max="8709" width="1.28515625" customWidth="1"/>
    <col min="8710" max="8710" width="1.7109375" customWidth="1"/>
    <col min="8711" max="8711" width="1.42578125" customWidth="1"/>
    <col min="8712" max="8716" width="1.28515625" customWidth="1"/>
    <col min="8717" max="8717" width="10.85546875" customWidth="1"/>
    <col min="8718" max="8718" width="17.42578125" customWidth="1"/>
    <col min="8719" max="8719" width="3.140625" customWidth="1"/>
    <col min="8720" max="8720" width="4.7109375" customWidth="1"/>
    <col min="8721" max="8721" width="8.7109375" customWidth="1"/>
    <col min="8722" max="8722" width="2" customWidth="1"/>
    <col min="8723" max="8723" width="1.28515625" customWidth="1"/>
    <col min="8724" max="8724" width="5.42578125" customWidth="1"/>
    <col min="8725" max="8725" width="6.28515625" customWidth="1"/>
    <col min="8726" max="8726" width="2.28515625" customWidth="1"/>
    <col min="8727" max="8727" width="1" customWidth="1"/>
    <col min="8728" max="8728" width="2.5703125" customWidth="1"/>
    <col min="8729" max="8729" width="1.7109375" customWidth="1"/>
    <col min="8730" max="8730" width="2" customWidth="1"/>
    <col min="8731" max="8731" width="1.28515625" customWidth="1"/>
    <col min="8732" max="8732" width="5.140625" customWidth="1"/>
    <col min="8733" max="8733" width="1" customWidth="1"/>
    <col min="8734" max="8734" width="2.7109375" customWidth="1"/>
    <col min="8735" max="8735" width="1.28515625" customWidth="1"/>
    <col min="8736" max="8736" width="2.28515625" customWidth="1"/>
    <col min="8737" max="8737" width="1" customWidth="1"/>
    <col min="8738" max="8738" width="1.5703125" customWidth="1"/>
    <col min="8739" max="8739" width="1.42578125" customWidth="1"/>
    <col min="8740" max="8740" width="1" customWidth="1"/>
    <col min="8741" max="8741" width="5.28515625" customWidth="1"/>
    <col min="8742" max="8742" width="6" customWidth="1"/>
    <col min="8961" max="8961" width="1.7109375" customWidth="1"/>
    <col min="8962" max="8962" width="9.85546875" customWidth="1"/>
    <col min="8963" max="8963" width="5.28515625" customWidth="1"/>
    <col min="8964" max="8964" width="3.42578125" customWidth="1"/>
    <col min="8965" max="8965" width="1.28515625" customWidth="1"/>
    <col min="8966" max="8966" width="1.7109375" customWidth="1"/>
    <col min="8967" max="8967" width="1.42578125" customWidth="1"/>
    <col min="8968" max="8972" width="1.28515625" customWidth="1"/>
    <col min="8973" max="8973" width="10.85546875" customWidth="1"/>
    <col min="8974" max="8974" width="17.42578125" customWidth="1"/>
    <col min="8975" max="8975" width="3.140625" customWidth="1"/>
    <col min="8976" max="8976" width="4.7109375" customWidth="1"/>
    <col min="8977" max="8977" width="8.7109375" customWidth="1"/>
    <col min="8978" max="8978" width="2" customWidth="1"/>
    <col min="8979" max="8979" width="1.28515625" customWidth="1"/>
    <col min="8980" max="8980" width="5.42578125" customWidth="1"/>
    <col min="8981" max="8981" width="6.28515625" customWidth="1"/>
    <col min="8982" max="8982" width="2.28515625" customWidth="1"/>
    <col min="8983" max="8983" width="1" customWidth="1"/>
    <col min="8984" max="8984" width="2.5703125" customWidth="1"/>
    <col min="8985" max="8985" width="1.7109375" customWidth="1"/>
    <col min="8986" max="8986" width="2" customWidth="1"/>
    <col min="8987" max="8987" width="1.28515625" customWidth="1"/>
    <col min="8988" max="8988" width="5.140625" customWidth="1"/>
    <col min="8989" max="8989" width="1" customWidth="1"/>
    <col min="8990" max="8990" width="2.7109375" customWidth="1"/>
    <col min="8991" max="8991" width="1.28515625" customWidth="1"/>
    <col min="8992" max="8992" width="2.28515625" customWidth="1"/>
    <col min="8993" max="8993" width="1" customWidth="1"/>
    <col min="8994" max="8994" width="1.5703125" customWidth="1"/>
    <col min="8995" max="8995" width="1.42578125" customWidth="1"/>
    <col min="8996" max="8996" width="1" customWidth="1"/>
    <col min="8997" max="8997" width="5.28515625" customWidth="1"/>
    <col min="8998" max="8998" width="6" customWidth="1"/>
    <col min="9217" max="9217" width="1.7109375" customWidth="1"/>
    <col min="9218" max="9218" width="9.85546875" customWidth="1"/>
    <col min="9219" max="9219" width="5.28515625" customWidth="1"/>
    <col min="9220" max="9220" width="3.42578125" customWidth="1"/>
    <col min="9221" max="9221" width="1.28515625" customWidth="1"/>
    <col min="9222" max="9222" width="1.7109375" customWidth="1"/>
    <col min="9223" max="9223" width="1.42578125" customWidth="1"/>
    <col min="9224" max="9228" width="1.28515625" customWidth="1"/>
    <col min="9229" max="9229" width="10.85546875" customWidth="1"/>
    <col min="9230" max="9230" width="17.42578125" customWidth="1"/>
    <col min="9231" max="9231" width="3.140625" customWidth="1"/>
    <col min="9232" max="9232" width="4.7109375" customWidth="1"/>
    <col min="9233" max="9233" width="8.7109375" customWidth="1"/>
    <col min="9234" max="9234" width="2" customWidth="1"/>
    <col min="9235" max="9235" width="1.28515625" customWidth="1"/>
    <col min="9236" max="9236" width="5.42578125" customWidth="1"/>
    <col min="9237" max="9237" width="6.28515625" customWidth="1"/>
    <col min="9238" max="9238" width="2.28515625" customWidth="1"/>
    <col min="9239" max="9239" width="1" customWidth="1"/>
    <col min="9240" max="9240" width="2.5703125" customWidth="1"/>
    <col min="9241" max="9241" width="1.7109375" customWidth="1"/>
    <col min="9242" max="9242" width="2" customWidth="1"/>
    <col min="9243" max="9243" width="1.28515625" customWidth="1"/>
    <col min="9244" max="9244" width="5.140625" customWidth="1"/>
    <col min="9245" max="9245" width="1" customWidth="1"/>
    <col min="9246" max="9246" width="2.7109375" customWidth="1"/>
    <col min="9247" max="9247" width="1.28515625" customWidth="1"/>
    <col min="9248" max="9248" width="2.28515625" customWidth="1"/>
    <col min="9249" max="9249" width="1" customWidth="1"/>
    <col min="9250" max="9250" width="1.5703125" customWidth="1"/>
    <col min="9251" max="9251" width="1.42578125" customWidth="1"/>
    <col min="9252" max="9252" width="1" customWidth="1"/>
    <col min="9253" max="9253" width="5.28515625" customWidth="1"/>
    <col min="9254" max="9254" width="6" customWidth="1"/>
    <col min="9473" max="9473" width="1.7109375" customWidth="1"/>
    <col min="9474" max="9474" width="9.85546875" customWidth="1"/>
    <col min="9475" max="9475" width="5.28515625" customWidth="1"/>
    <col min="9476" max="9476" width="3.42578125" customWidth="1"/>
    <col min="9477" max="9477" width="1.28515625" customWidth="1"/>
    <col min="9478" max="9478" width="1.7109375" customWidth="1"/>
    <col min="9479" max="9479" width="1.42578125" customWidth="1"/>
    <col min="9480" max="9484" width="1.28515625" customWidth="1"/>
    <col min="9485" max="9485" width="10.85546875" customWidth="1"/>
    <col min="9486" max="9486" width="17.42578125" customWidth="1"/>
    <col min="9487" max="9487" width="3.140625" customWidth="1"/>
    <col min="9488" max="9488" width="4.7109375" customWidth="1"/>
    <col min="9489" max="9489" width="8.7109375" customWidth="1"/>
    <col min="9490" max="9490" width="2" customWidth="1"/>
    <col min="9491" max="9491" width="1.28515625" customWidth="1"/>
    <col min="9492" max="9492" width="5.42578125" customWidth="1"/>
    <col min="9493" max="9493" width="6.28515625" customWidth="1"/>
    <col min="9494" max="9494" width="2.28515625" customWidth="1"/>
    <col min="9495" max="9495" width="1" customWidth="1"/>
    <col min="9496" max="9496" width="2.5703125" customWidth="1"/>
    <col min="9497" max="9497" width="1.7109375" customWidth="1"/>
    <col min="9498" max="9498" width="2" customWidth="1"/>
    <col min="9499" max="9499" width="1.28515625" customWidth="1"/>
    <col min="9500" max="9500" width="5.140625" customWidth="1"/>
    <col min="9501" max="9501" width="1" customWidth="1"/>
    <col min="9502" max="9502" width="2.7109375" customWidth="1"/>
    <col min="9503" max="9503" width="1.28515625" customWidth="1"/>
    <col min="9504" max="9504" width="2.28515625" customWidth="1"/>
    <col min="9505" max="9505" width="1" customWidth="1"/>
    <col min="9506" max="9506" width="1.5703125" customWidth="1"/>
    <col min="9507" max="9507" width="1.42578125" customWidth="1"/>
    <col min="9508" max="9508" width="1" customWidth="1"/>
    <col min="9509" max="9509" width="5.28515625" customWidth="1"/>
    <col min="9510" max="9510" width="6" customWidth="1"/>
    <col min="9729" max="9729" width="1.7109375" customWidth="1"/>
    <col min="9730" max="9730" width="9.85546875" customWidth="1"/>
    <col min="9731" max="9731" width="5.28515625" customWidth="1"/>
    <col min="9732" max="9732" width="3.42578125" customWidth="1"/>
    <col min="9733" max="9733" width="1.28515625" customWidth="1"/>
    <col min="9734" max="9734" width="1.7109375" customWidth="1"/>
    <col min="9735" max="9735" width="1.42578125" customWidth="1"/>
    <col min="9736" max="9740" width="1.28515625" customWidth="1"/>
    <col min="9741" max="9741" width="10.85546875" customWidth="1"/>
    <col min="9742" max="9742" width="17.42578125" customWidth="1"/>
    <col min="9743" max="9743" width="3.140625" customWidth="1"/>
    <col min="9744" max="9744" width="4.7109375" customWidth="1"/>
    <col min="9745" max="9745" width="8.7109375" customWidth="1"/>
    <col min="9746" max="9746" width="2" customWidth="1"/>
    <col min="9747" max="9747" width="1.28515625" customWidth="1"/>
    <col min="9748" max="9748" width="5.42578125" customWidth="1"/>
    <col min="9749" max="9749" width="6.28515625" customWidth="1"/>
    <col min="9750" max="9750" width="2.28515625" customWidth="1"/>
    <col min="9751" max="9751" width="1" customWidth="1"/>
    <col min="9752" max="9752" width="2.5703125" customWidth="1"/>
    <col min="9753" max="9753" width="1.7109375" customWidth="1"/>
    <col min="9754" max="9754" width="2" customWidth="1"/>
    <col min="9755" max="9755" width="1.28515625" customWidth="1"/>
    <col min="9756" max="9756" width="5.140625" customWidth="1"/>
    <col min="9757" max="9757" width="1" customWidth="1"/>
    <col min="9758" max="9758" width="2.7109375" customWidth="1"/>
    <col min="9759" max="9759" width="1.28515625" customWidth="1"/>
    <col min="9760" max="9760" width="2.28515625" customWidth="1"/>
    <col min="9761" max="9761" width="1" customWidth="1"/>
    <col min="9762" max="9762" width="1.5703125" customWidth="1"/>
    <col min="9763" max="9763" width="1.42578125" customWidth="1"/>
    <col min="9764" max="9764" width="1" customWidth="1"/>
    <col min="9765" max="9765" width="5.28515625" customWidth="1"/>
    <col min="9766" max="9766" width="6" customWidth="1"/>
    <col min="9985" max="9985" width="1.7109375" customWidth="1"/>
    <col min="9986" max="9986" width="9.85546875" customWidth="1"/>
    <col min="9987" max="9987" width="5.28515625" customWidth="1"/>
    <col min="9988" max="9988" width="3.42578125" customWidth="1"/>
    <col min="9989" max="9989" width="1.28515625" customWidth="1"/>
    <col min="9990" max="9990" width="1.7109375" customWidth="1"/>
    <col min="9991" max="9991" width="1.42578125" customWidth="1"/>
    <col min="9992" max="9996" width="1.28515625" customWidth="1"/>
    <col min="9997" max="9997" width="10.85546875" customWidth="1"/>
    <col min="9998" max="9998" width="17.42578125" customWidth="1"/>
    <col min="9999" max="9999" width="3.140625" customWidth="1"/>
    <col min="10000" max="10000" width="4.7109375" customWidth="1"/>
    <col min="10001" max="10001" width="8.7109375" customWidth="1"/>
    <col min="10002" max="10002" width="2" customWidth="1"/>
    <col min="10003" max="10003" width="1.28515625" customWidth="1"/>
    <col min="10004" max="10004" width="5.42578125" customWidth="1"/>
    <col min="10005" max="10005" width="6.28515625" customWidth="1"/>
    <col min="10006" max="10006" width="2.28515625" customWidth="1"/>
    <col min="10007" max="10007" width="1" customWidth="1"/>
    <col min="10008" max="10008" width="2.5703125" customWidth="1"/>
    <col min="10009" max="10009" width="1.7109375" customWidth="1"/>
    <col min="10010" max="10010" width="2" customWidth="1"/>
    <col min="10011" max="10011" width="1.28515625" customWidth="1"/>
    <col min="10012" max="10012" width="5.140625" customWidth="1"/>
    <col min="10013" max="10013" width="1" customWidth="1"/>
    <col min="10014" max="10014" width="2.7109375" customWidth="1"/>
    <col min="10015" max="10015" width="1.28515625" customWidth="1"/>
    <col min="10016" max="10016" width="2.28515625" customWidth="1"/>
    <col min="10017" max="10017" width="1" customWidth="1"/>
    <col min="10018" max="10018" width="1.5703125" customWidth="1"/>
    <col min="10019" max="10019" width="1.42578125" customWidth="1"/>
    <col min="10020" max="10020" width="1" customWidth="1"/>
    <col min="10021" max="10021" width="5.28515625" customWidth="1"/>
    <col min="10022" max="10022" width="6" customWidth="1"/>
    <col min="10241" max="10241" width="1.7109375" customWidth="1"/>
    <col min="10242" max="10242" width="9.85546875" customWidth="1"/>
    <col min="10243" max="10243" width="5.28515625" customWidth="1"/>
    <col min="10244" max="10244" width="3.42578125" customWidth="1"/>
    <col min="10245" max="10245" width="1.28515625" customWidth="1"/>
    <col min="10246" max="10246" width="1.7109375" customWidth="1"/>
    <col min="10247" max="10247" width="1.42578125" customWidth="1"/>
    <col min="10248" max="10252" width="1.28515625" customWidth="1"/>
    <col min="10253" max="10253" width="10.85546875" customWidth="1"/>
    <col min="10254" max="10254" width="17.42578125" customWidth="1"/>
    <col min="10255" max="10255" width="3.140625" customWidth="1"/>
    <col min="10256" max="10256" width="4.7109375" customWidth="1"/>
    <col min="10257" max="10257" width="8.7109375" customWidth="1"/>
    <col min="10258" max="10258" width="2" customWidth="1"/>
    <col min="10259" max="10259" width="1.28515625" customWidth="1"/>
    <col min="10260" max="10260" width="5.42578125" customWidth="1"/>
    <col min="10261" max="10261" width="6.28515625" customWidth="1"/>
    <col min="10262" max="10262" width="2.28515625" customWidth="1"/>
    <col min="10263" max="10263" width="1" customWidth="1"/>
    <col min="10264" max="10264" width="2.5703125" customWidth="1"/>
    <col min="10265" max="10265" width="1.7109375" customWidth="1"/>
    <col min="10266" max="10266" width="2" customWidth="1"/>
    <col min="10267" max="10267" width="1.28515625" customWidth="1"/>
    <col min="10268" max="10268" width="5.140625" customWidth="1"/>
    <col min="10269" max="10269" width="1" customWidth="1"/>
    <col min="10270" max="10270" width="2.7109375" customWidth="1"/>
    <col min="10271" max="10271" width="1.28515625" customWidth="1"/>
    <col min="10272" max="10272" width="2.28515625" customWidth="1"/>
    <col min="10273" max="10273" width="1" customWidth="1"/>
    <col min="10274" max="10274" width="1.5703125" customWidth="1"/>
    <col min="10275" max="10275" width="1.42578125" customWidth="1"/>
    <col min="10276" max="10276" width="1" customWidth="1"/>
    <col min="10277" max="10277" width="5.28515625" customWidth="1"/>
    <col min="10278" max="10278" width="6" customWidth="1"/>
    <col min="10497" max="10497" width="1.7109375" customWidth="1"/>
    <col min="10498" max="10498" width="9.85546875" customWidth="1"/>
    <col min="10499" max="10499" width="5.28515625" customWidth="1"/>
    <col min="10500" max="10500" width="3.42578125" customWidth="1"/>
    <col min="10501" max="10501" width="1.28515625" customWidth="1"/>
    <col min="10502" max="10502" width="1.7109375" customWidth="1"/>
    <col min="10503" max="10503" width="1.42578125" customWidth="1"/>
    <col min="10504" max="10508" width="1.28515625" customWidth="1"/>
    <col min="10509" max="10509" width="10.85546875" customWidth="1"/>
    <col min="10510" max="10510" width="17.42578125" customWidth="1"/>
    <col min="10511" max="10511" width="3.140625" customWidth="1"/>
    <col min="10512" max="10512" width="4.7109375" customWidth="1"/>
    <col min="10513" max="10513" width="8.7109375" customWidth="1"/>
    <col min="10514" max="10514" width="2" customWidth="1"/>
    <col min="10515" max="10515" width="1.28515625" customWidth="1"/>
    <col min="10516" max="10516" width="5.42578125" customWidth="1"/>
    <col min="10517" max="10517" width="6.28515625" customWidth="1"/>
    <col min="10518" max="10518" width="2.28515625" customWidth="1"/>
    <col min="10519" max="10519" width="1" customWidth="1"/>
    <col min="10520" max="10520" width="2.5703125" customWidth="1"/>
    <col min="10521" max="10521" width="1.7109375" customWidth="1"/>
    <col min="10522" max="10522" width="2" customWidth="1"/>
    <col min="10523" max="10523" width="1.28515625" customWidth="1"/>
    <col min="10524" max="10524" width="5.140625" customWidth="1"/>
    <col min="10525" max="10525" width="1" customWidth="1"/>
    <col min="10526" max="10526" width="2.7109375" customWidth="1"/>
    <col min="10527" max="10527" width="1.28515625" customWidth="1"/>
    <col min="10528" max="10528" width="2.28515625" customWidth="1"/>
    <col min="10529" max="10529" width="1" customWidth="1"/>
    <col min="10530" max="10530" width="1.5703125" customWidth="1"/>
    <col min="10531" max="10531" width="1.42578125" customWidth="1"/>
    <col min="10532" max="10532" width="1" customWidth="1"/>
    <col min="10533" max="10533" width="5.28515625" customWidth="1"/>
    <col min="10534" max="10534" width="6" customWidth="1"/>
    <col min="10753" max="10753" width="1.7109375" customWidth="1"/>
    <col min="10754" max="10754" width="9.85546875" customWidth="1"/>
    <col min="10755" max="10755" width="5.28515625" customWidth="1"/>
    <col min="10756" max="10756" width="3.42578125" customWidth="1"/>
    <col min="10757" max="10757" width="1.28515625" customWidth="1"/>
    <col min="10758" max="10758" width="1.7109375" customWidth="1"/>
    <col min="10759" max="10759" width="1.42578125" customWidth="1"/>
    <col min="10760" max="10764" width="1.28515625" customWidth="1"/>
    <col min="10765" max="10765" width="10.85546875" customWidth="1"/>
    <col min="10766" max="10766" width="17.42578125" customWidth="1"/>
    <col min="10767" max="10767" width="3.140625" customWidth="1"/>
    <col min="10768" max="10768" width="4.7109375" customWidth="1"/>
    <col min="10769" max="10769" width="8.7109375" customWidth="1"/>
    <col min="10770" max="10770" width="2" customWidth="1"/>
    <col min="10771" max="10771" width="1.28515625" customWidth="1"/>
    <col min="10772" max="10772" width="5.42578125" customWidth="1"/>
    <col min="10773" max="10773" width="6.28515625" customWidth="1"/>
    <col min="10774" max="10774" width="2.28515625" customWidth="1"/>
    <col min="10775" max="10775" width="1" customWidth="1"/>
    <col min="10776" max="10776" width="2.5703125" customWidth="1"/>
    <col min="10777" max="10777" width="1.7109375" customWidth="1"/>
    <col min="10778" max="10778" width="2" customWidth="1"/>
    <col min="10779" max="10779" width="1.28515625" customWidth="1"/>
    <col min="10780" max="10780" width="5.140625" customWidth="1"/>
    <col min="10781" max="10781" width="1" customWidth="1"/>
    <col min="10782" max="10782" width="2.7109375" customWidth="1"/>
    <col min="10783" max="10783" width="1.28515625" customWidth="1"/>
    <col min="10784" max="10784" width="2.28515625" customWidth="1"/>
    <col min="10785" max="10785" width="1" customWidth="1"/>
    <col min="10786" max="10786" width="1.5703125" customWidth="1"/>
    <col min="10787" max="10787" width="1.42578125" customWidth="1"/>
    <col min="10788" max="10788" width="1" customWidth="1"/>
    <col min="10789" max="10789" width="5.28515625" customWidth="1"/>
    <col min="10790" max="10790" width="6" customWidth="1"/>
    <col min="11009" max="11009" width="1.7109375" customWidth="1"/>
    <col min="11010" max="11010" width="9.85546875" customWidth="1"/>
    <col min="11011" max="11011" width="5.28515625" customWidth="1"/>
    <col min="11012" max="11012" width="3.42578125" customWidth="1"/>
    <col min="11013" max="11013" width="1.28515625" customWidth="1"/>
    <col min="11014" max="11014" width="1.7109375" customWidth="1"/>
    <col min="11015" max="11015" width="1.42578125" customWidth="1"/>
    <col min="11016" max="11020" width="1.28515625" customWidth="1"/>
    <col min="11021" max="11021" width="10.85546875" customWidth="1"/>
    <col min="11022" max="11022" width="17.42578125" customWidth="1"/>
    <col min="11023" max="11023" width="3.140625" customWidth="1"/>
    <col min="11024" max="11024" width="4.7109375" customWidth="1"/>
    <col min="11025" max="11025" width="8.7109375" customWidth="1"/>
    <col min="11026" max="11026" width="2" customWidth="1"/>
    <col min="11027" max="11027" width="1.28515625" customWidth="1"/>
    <col min="11028" max="11028" width="5.42578125" customWidth="1"/>
    <col min="11029" max="11029" width="6.28515625" customWidth="1"/>
    <col min="11030" max="11030" width="2.28515625" customWidth="1"/>
    <col min="11031" max="11031" width="1" customWidth="1"/>
    <col min="11032" max="11032" width="2.5703125" customWidth="1"/>
    <col min="11033" max="11033" width="1.7109375" customWidth="1"/>
    <col min="11034" max="11034" width="2" customWidth="1"/>
    <col min="11035" max="11035" width="1.28515625" customWidth="1"/>
    <col min="11036" max="11036" width="5.140625" customWidth="1"/>
    <col min="11037" max="11037" width="1" customWidth="1"/>
    <col min="11038" max="11038" width="2.7109375" customWidth="1"/>
    <col min="11039" max="11039" width="1.28515625" customWidth="1"/>
    <col min="11040" max="11040" width="2.28515625" customWidth="1"/>
    <col min="11041" max="11041" width="1" customWidth="1"/>
    <col min="11042" max="11042" width="1.5703125" customWidth="1"/>
    <col min="11043" max="11043" width="1.42578125" customWidth="1"/>
    <col min="11044" max="11044" width="1" customWidth="1"/>
    <col min="11045" max="11045" width="5.28515625" customWidth="1"/>
    <col min="11046" max="11046" width="6" customWidth="1"/>
    <col min="11265" max="11265" width="1.7109375" customWidth="1"/>
    <col min="11266" max="11266" width="9.85546875" customWidth="1"/>
    <col min="11267" max="11267" width="5.28515625" customWidth="1"/>
    <col min="11268" max="11268" width="3.42578125" customWidth="1"/>
    <col min="11269" max="11269" width="1.28515625" customWidth="1"/>
    <col min="11270" max="11270" width="1.7109375" customWidth="1"/>
    <col min="11271" max="11271" width="1.42578125" customWidth="1"/>
    <col min="11272" max="11276" width="1.28515625" customWidth="1"/>
    <col min="11277" max="11277" width="10.85546875" customWidth="1"/>
    <col min="11278" max="11278" width="17.42578125" customWidth="1"/>
    <col min="11279" max="11279" width="3.140625" customWidth="1"/>
    <col min="11280" max="11280" width="4.7109375" customWidth="1"/>
    <col min="11281" max="11281" width="8.7109375" customWidth="1"/>
    <col min="11282" max="11282" width="2" customWidth="1"/>
    <col min="11283" max="11283" width="1.28515625" customWidth="1"/>
    <col min="11284" max="11284" width="5.42578125" customWidth="1"/>
    <col min="11285" max="11285" width="6.28515625" customWidth="1"/>
    <col min="11286" max="11286" width="2.28515625" customWidth="1"/>
    <col min="11287" max="11287" width="1" customWidth="1"/>
    <col min="11288" max="11288" width="2.5703125" customWidth="1"/>
    <col min="11289" max="11289" width="1.7109375" customWidth="1"/>
    <col min="11290" max="11290" width="2" customWidth="1"/>
    <col min="11291" max="11291" width="1.28515625" customWidth="1"/>
    <col min="11292" max="11292" width="5.140625" customWidth="1"/>
    <col min="11293" max="11293" width="1" customWidth="1"/>
    <col min="11294" max="11294" width="2.7109375" customWidth="1"/>
    <col min="11295" max="11295" width="1.28515625" customWidth="1"/>
    <col min="11296" max="11296" width="2.28515625" customWidth="1"/>
    <col min="11297" max="11297" width="1" customWidth="1"/>
    <col min="11298" max="11298" width="1.5703125" customWidth="1"/>
    <col min="11299" max="11299" width="1.42578125" customWidth="1"/>
    <col min="11300" max="11300" width="1" customWidth="1"/>
    <col min="11301" max="11301" width="5.28515625" customWidth="1"/>
    <col min="11302" max="11302" width="6" customWidth="1"/>
    <col min="11521" max="11521" width="1.7109375" customWidth="1"/>
    <col min="11522" max="11522" width="9.85546875" customWidth="1"/>
    <col min="11523" max="11523" width="5.28515625" customWidth="1"/>
    <col min="11524" max="11524" width="3.42578125" customWidth="1"/>
    <col min="11525" max="11525" width="1.28515625" customWidth="1"/>
    <col min="11526" max="11526" width="1.7109375" customWidth="1"/>
    <col min="11527" max="11527" width="1.42578125" customWidth="1"/>
    <col min="11528" max="11532" width="1.28515625" customWidth="1"/>
    <col min="11533" max="11533" width="10.85546875" customWidth="1"/>
    <col min="11534" max="11534" width="17.42578125" customWidth="1"/>
    <col min="11535" max="11535" width="3.140625" customWidth="1"/>
    <col min="11536" max="11536" width="4.7109375" customWidth="1"/>
    <col min="11537" max="11537" width="8.7109375" customWidth="1"/>
    <col min="11538" max="11538" width="2" customWidth="1"/>
    <col min="11539" max="11539" width="1.28515625" customWidth="1"/>
    <col min="11540" max="11540" width="5.42578125" customWidth="1"/>
    <col min="11541" max="11541" width="6.28515625" customWidth="1"/>
    <col min="11542" max="11542" width="2.28515625" customWidth="1"/>
    <col min="11543" max="11543" width="1" customWidth="1"/>
    <col min="11544" max="11544" width="2.5703125" customWidth="1"/>
    <col min="11545" max="11545" width="1.7109375" customWidth="1"/>
    <col min="11546" max="11546" width="2" customWidth="1"/>
    <col min="11547" max="11547" width="1.28515625" customWidth="1"/>
    <col min="11548" max="11548" width="5.140625" customWidth="1"/>
    <col min="11549" max="11549" width="1" customWidth="1"/>
    <col min="11550" max="11550" width="2.7109375" customWidth="1"/>
    <col min="11551" max="11551" width="1.28515625" customWidth="1"/>
    <col min="11552" max="11552" width="2.28515625" customWidth="1"/>
    <col min="11553" max="11553" width="1" customWidth="1"/>
    <col min="11554" max="11554" width="1.5703125" customWidth="1"/>
    <col min="11555" max="11555" width="1.42578125" customWidth="1"/>
    <col min="11556" max="11556" width="1" customWidth="1"/>
    <col min="11557" max="11557" width="5.28515625" customWidth="1"/>
    <col min="11558" max="11558" width="6" customWidth="1"/>
    <col min="11777" max="11777" width="1.7109375" customWidth="1"/>
    <col min="11778" max="11778" width="9.85546875" customWidth="1"/>
    <col min="11779" max="11779" width="5.28515625" customWidth="1"/>
    <col min="11780" max="11780" width="3.42578125" customWidth="1"/>
    <col min="11781" max="11781" width="1.28515625" customWidth="1"/>
    <col min="11782" max="11782" width="1.7109375" customWidth="1"/>
    <col min="11783" max="11783" width="1.42578125" customWidth="1"/>
    <col min="11784" max="11788" width="1.28515625" customWidth="1"/>
    <col min="11789" max="11789" width="10.85546875" customWidth="1"/>
    <col min="11790" max="11790" width="17.42578125" customWidth="1"/>
    <col min="11791" max="11791" width="3.140625" customWidth="1"/>
    <col min="11792" max="11792" width="4.7109375" customWidth="1"/>
    <col min="11793" max="11793" width="8.7109375" customWidth="1"/>
    <col min="11794" max="11794" width="2" customWidth="1"/>
    <col min="11795" max="11795" width="1.28515625" customWidth="1"/>
    <col min="11796" max="11796" width="5.42578125" customWidth="1"/>
    <col min="11797" max="11797" width="6.28515625" customWidth="1"/>
    <col min="11798" max="11798" width="2.28515625" customWidth="1"/>
    <col min="11799" max="11799" width="1" customWidth="1"/>
    <col min="11800" max="11800" width="2.5703125" customWidth="1"/>
    <col min="11801" max="11801" width="1.7109375" customWidth="1"/>
    <col min="11802" max="11802" width="2" customWidth="1"/>
    <col min="11803" max="11803" width="1.28515625" customWidth="1"/>
    <col min="11804" max="11804" width="5.140625" customWidth="1"/>
    <col min="11805" max="11805" width="1" customWidth="1"/>
    <col min="11806" max="11806" width="2.7109375" customWidth="1"/>
    <col min="11807" max="11807" width="1.28515625" customWidth="1"/>
    <col min="11808" max="11808" width="2.28515625" customWidth="1"/>
    <col min="11809" max="11809" width="1" customWidth="1"/>
    <col min="11810" max="11810" width="1.5703125" customWidth="1"/>
    <col min="11811" max="11811" width="1.42578125" customWidth="1"/>
    <col min="11812" max="11812" width="1" customWidth="1"/>
    <col min="11813" max="11813" width="5.28515625" customWidth="1"/>
    <col min="11814" max="11814" width="6" customWidth="1"/>
    <col min="12033" max="12033" width="1.7109375" customWidth="1"/>
    <col min="12034" max="12034" width="9.85546875" customWidth="1"/>
    <col min="12035" max="12035" width="5.28515625" customWidth="1"/>
    <col min="12036" max="12036" width="3.42578125" customWidth="1"/>
    <col min="12037" max="12037" width="1.28515625" customWidth="1"/>
    <col min="12038" max="12038" width="1.7109375" customWidth="1"/>
    <col min="12039" max="12039" width="1.42578125" customWidth="1"/>
    <col min="12040" max="12044" width="1.28515625" customWidth="1"/>
    <col min="12045" max="12045" width="10.85546875" customWidth="1"/>
    <col min="12046" max="12046" width="17.42578125" customWidth="1"/>
    <col min="12047" max="12047" width="3.140625" customWidth="1"/>
    <col min="12048" max="12048" width="4.7109375" customWidth="1"/>
    <col min="12049" max="12049" width="8.7109375" customWidth="1"/>
    <col min="12050" max="12050" width="2" customWidth="1"/>
    <col min="12051" max="12051" width="1.28515625" customWidth="1"/>
    <col min="12052" max="12052" width="5.42578125" customWidth="1"/>
    <col min="12053" max="12053" width="6.28515625" customWidth="1"/>
    <col min="12054" max="12054" width="2.28515625" customWidth="1"/>
    <col min="12055" max="12055" width="1" customWidth="1"/>
    <col min="12056" max="12056" width="2.5703125" customWidth="1"/>
    <col min="12057" max="12057" width="1.7109375" customWidth="1"/>
    <col min="12058" max="12058" width="2" customWidth="1"/>
    <col min="12059" max="12059" width="1.28515625" customWidth="1"/>
    <col min="12060" max="12060" width="5.140625" customWidth="1"/>
    <col min="12061" max="12061" width="1" customWidth="1"/>
    <col min="12062" max="12062" width="2.7109375" customWidth="1"/>
    <col min="12063" max="12063" width="1.28515625" customWidth="1"/>
    <col min="12064" max="12064" width="2.28515625" customWidth="1"/>
    <col min="12065" max="12065" width="1" customWidth="1"/>
    <col min="12066" max="12066" width="1.5703125" customWidth="1"/>
    <col min="12067" max="12067" width="1.42578125" customWidth="1"/>
    <col min="12068" max="12068" width="1" customWidth="1"/>
    <col min="12069" max="12069" width="5.28515625" customWidth="1"/>
    <col min="12070" max="12070" width="6" customWidth="1"/>
    <col min="12289" max="12289" width="1.7109375" customWidth="1"/>
    <col min="12290" max="12290" width="9.85546875" customWidth="1"/>
    <col min="12291" max="12291" width="5.28515625" customWidth="1"/>
    <col min="12292" max="12292" width="3.42578125" customWidth="1"/>
    <col min="12293" max="12293" width="1.28515625" customWidth="1"/>
    <col min="12294" max="12294" width="1.7109375" customWidth="1"/>
    <col min="12295" max="12295" width="1.42578125" customWidth="1"/>
    <col min="12296" max="12300" width="1.28515625" customWidth="1"/>
    <col min="12301" max="12301" width="10.85546875" customWidth="1"/>
    <col min="12302" max="12302" width="17.42578125" customWidth="1"/>
    <col min="12303" max="12303" width="3.140625" customWidth="1"/>
    <col min="12304" max="12304" width="4.7109375" customWidth="1"/>
    <col min="12305" max="12305" width="8.7109375" customWidth="1"/>
    <col min="12306" max="12306" width="2" customWidth="1"/>
    <col min="12307" max="12307" width="1.28515625" customWidth="1"/>
    <col min="12308" max="12308" width="5.42578125" customWidth="1"/>
    <col min="12309" max="12309" width="6.28515625" customWidth="1"/>
    <col min="12310" max="12310" width="2.28515625" customWidth="1"/>
    <col min="12311" max="12311" width="1" customWidth="1"/>
    <col min="12312" max="12312" width="2.5703125" customWidth="1"/>
    <col min="12313" max="12313" width="1.7109375" customWidth="1"/>
    <col min="12314" max="12314" width="2" customWidth="1"/>
    <col min="12315" max="12315" width="1.28515625" customWidth="1"/>
    <col min="12316" max="12316" width="5.140625" customWidth="1"/>
    <col min="12317" max="12317" width="1" customWidth="1"/>
    <col min="12318" max="12318" width="2.7109375" customWidth="1"/>
    <col min="12319" max="12319" width="1.28515625" customWidth="1"/>
    <col min="12320" max="12320" width="2.28515625" customWidth="1"/>
    <col min="12321" max="12321" width="1" customWidth="1"/>
    <col min="12322" max="12322" width="1.5703125" customWidth="1"/>
    <col min="12323" max="12323" width="1.42578125" customWidth="1"/>
    <col min="12324" max="12324" width="1" customWidth="1"/>
    <col min="12325" max="12325" width="5.28515625" customWidth="1"/>
    <col min="12326" max="12326" width="6" customWidth="1"/>
    <col min="12545" max="12545" width="1.7109375" customWidth="1"/>
    <col min="12546" max="12546" width="9.85546875" customWidth="1"/>
    <col min="12547" max="12547" width="5.28515625" customWidth="1"/>
    <col min="12548" max="12548" width="3.42578125" customWidth="1"/>
    <col min="12549" max="12549" width="1.28515625" customWidth="1"/>
    <col min="12550" max="12550" width="1.7109375" customWidth="1"/>
    <col min="12551" max="12551" width="1.42578125" customWidth="1"/>
    <col min="12552" max="12556" width="1.28515625" customWidth="1"/>
    <col min="12557" max="12557" width="10.85546875" customWidth="1"/>
    <col min="12558" max="12558" width="17.42578125" customWidth="1"/>
    <col min="12559" max="12559" width="3.140625" customWidth="1"/>
    <col min="12560" max="12560" width="4.7109375" customWidth="1"/>
    <col min="12561" max="12561" width="8.7109375" customWidth="1"/>
    <col min="12562" max="12562" width="2" customWidth="1"/>
    <col min="12563" max="12563" width="1.28515625" customWidth="1"/>
    <col min="12564" max="12564" width="5.42578125" customWidth="1"/>
    <col min="12565" max="12565" width="6.28515625" customWidth="1"/>
    <col min="12566" max="12566" width="2.28515625" customWidth="1"/>
    <col min="12567" max="12567" width="1" customWidth="1"/>
    <col min="12568" max="12568" width="2.5703125" customWidth="1"/>
    <col min="12569" max="12569" width="1.7109375" customWidth="1"/>
    <col min="12570" max="12570" width="2" customWidth="1"/>
    <col min="12571" max="12571" width="1.28515625" customWidth="1"/>
    <col min="12572" max="12572" width="5.140625" customWidth="1"/>
    <col min="12573" max="12573" width="1" customWidth="1"/>
    <col min="12574" max="12574" width="2.7109375" customWidth="1"/>
    <col min="12575" max="12575" width="1.28515625" customWidth="1"/>
    <col min="12576" max="12576" width="2.28515625" customWidth="1"/>
    <col min="12577" max="12577" width="1" customWidth="1"/>
    <col min="12578" max="12578" width="1.5703125" customWidth="1"/>
    <col min="12579" max="12579" width="1.42578125" customWidth="1"/>
    <col min="12580" max="12580" width="1" customWidth="1"/>
    <col min="12581" max="12581" width="5.28515625" customWidth="1"/>
    <col min="12582" max="12582" width="6" customWidth="1"/>
    <col min="12801" max="12801" width="1.7109375" customWidth="1"/>
    <col min="12802" max="12802" width="9.85546875" customWidth="1"/>
    <col min="12803" max="12803" width="5.28515625" customWidth="1"/>
    <col min="12804" max="12804" width="3.42578125" customWidth="1"/>
    <col min="12805" max="12805" width="1.28515625" customWidth="1"/>
    <col min="12806" max="12806" width="1.7109375" customWidth="1"/>
    <col min="12807" max="12807" width="1.42578125" customWidth="1"/>
    <col min="12808" max="12812" width="1.28515625" customWidth="1"/>
    <col min="12813" max="12813" width="10.85546875" customWidth="1"/>
    <col min="12814" max="12814" width="17.42578125" customWidth="1"/>
    <col min="12815" max="12815" width="3.140625" customWidth="1"/>
    <col min="12816" max="12816" width="4.7109375" customWidth="1"/>
    <col min="12817" max="12817" width="8.7109375" customWidth="1"/>
    <col min="12818" max="12818" width="2" customWidth="1"/>
    <col min="12819" max="12819" width="1.28515625" customWidth="1"/>
    <col min="12820" max="12820" width="5.42578125" customWidth="1"/>
    <col min="12821" max="12821" width="6.28515625" customWidth="1"/>
    <col min="12822" max="12822" width="2.28515625" customWidth="1"/>
    <col min="12823" max="12823" width="1" customWidth="1"/>
    <col min="12824" max="12824" width="2.5703125" customWidth="1"/>
    <col min="12825" max="12825" width="1.7109375" customWidth="1"/>
    <col min="12826" max="12826" width="2" customWidth="1"/>
    <col min="12827" max="12827" width="1.28515625" customWidth="1"/>
    <col min="12828" max="12828" width="5.140625" customWidth="1"/>
    <col min="12829" max="12829" width="1" customWidth="1"/>
    <col min="12830" max="12830" width="2.7109375" customWidth="1"/>
    <col min="12831" max="12831" width="1.28515625" customWidth="1"/>
    <col min="12832" max="12832" width="2.28515625" customWidth="1"/>
    <col min="12833" max="12833" width="1" customWidth="1"/>
    <col min="12834" max="12834" width="1.5703125" customWidth="1"/>
    <col min="12835" max="12835" width="1.42578125" customWidth="1"/>
    <col min="12836" max="12836" width="1" customWidth="1"/>
    <col min="12837" max="12837" width="5.28515625" customWidth="1"/>
    <col min="12838" max="12838" width="6" customWidth="1"/>
    <col min="13057" max="13057" width="1.7109375" customWidth="1"/>
    <col min="13058" max="13058" width="9.85546875" customWidth="1"/>
    <col min="13059" max="13059" width="5.28515625" customWidth="1"/>
    <col min="13060" max="13060" width="3.42578125" customWidth="1"/>
    <col min="13061" max="13061" width="1.28515625" customWidth="1"/>
    <col min="13062" max="13062" width="1.7109375" customWidth="1"/>
    <col min="13063" max="13063" width="1.42578125" customWidth="1"/>
    <col min="13064" max="13068" width="1.28515625" customWidth="1"/>
    <col min="13069" max="13069" width="10.85546875" customWidth="1"/>
    <col min="13070" max="13070" width="17.42578125" customWidth="1"/>
    <col min="13071" max="13071" width="3.140625" customWidth="1"/>
    <col min="13072" max="13072" width="4.7109375" customWidth="1"/>
    <col min="13073" max="13073" width="8.7109375" customWidth="1"/>
    <col min="13074" max="13074" width="2" customWidth="1"/>
    <col min="13075" max="13075" width="1.28515625" customWidth="1"/>
    <col min="13076" max="13076" width="5.42578125" customWidth="1"/>
    <col min="13077" max="13077" width="6.28515625" customWidth="1"/>
    <col min="13078" max="13078" width="2.28515625" customWidth="1"/>
    <col min="13079" max="13079" width="1" customWidth="1"/>
    <col min="13080" max="13080" width="2.5703125" customWidth="1"/>
    <col min="13081" max="13081" width="1.7109375" customWidth="1"/>
    <col min="13082" max="13082" width="2" customWidth="1"/>
    <col min="13083" max="13083" width="1.28515625" customWidth="1"/>
    <col min="13084" max="13084" width="5.140625" customWidth="1"/>
    <col min="13085" max="13085" width="1" customWidth="1"/>
    <col min="13086" max="13086" width="2.7109375" customWidth="1"/>
    <col min="13087" max="13087" width="1.28515625" customWidth="1"/>
    <col min="13088" max="13088" width="2.28515625" customWidth="1"/>
    <col min="13089" max="13089" width="1" customWidth="1"/>
    <col min="13090" max="13090" width="1.5703125" customWidth="1"/>
    <col min="13091" max="13091" width="1.42578125" customWidth="1"/>
    <col min="13092" max="13092" width="1" customWidth="1"/>
    <col min="13093" max="13093" width="5.28515625" customWidth="1"/>
    <col min="13094" max="13094" width="6" customWidth="1"/>
    <col min="13313" max="13313" width="1.7109375" customWidth="1"/>
    <col min="13314" max="13314" width="9.85546875" customWidth="1"/>
    <col min="13315" max="13315" width="5.28515625" customWidth="1"/>
    <col min="13316" max="13316" width="3.42578125" customWidth="1"/>
    <col min="13317" max="13317" width="1.28515625" customWidth="1"/>
    <col min="13318" max="13318" width="1.7109375" customWidth="1"/>
    <col min="13319" max="13319" width="1.42578125" customWidth="1"/>
    <col min="13320" max="13324" width="1.28515625" customWidth="1"/>
    <col min="13325" max="13325" width="10.85546875" customWidth="1"/>
    <col min="13326" max="13326" width="17.42578125" customWidth="1"/>
    <col min="13327" max="13327" width="3.140625" customWidth="1"/>
    <col min="13328" max="13328" width="4.7109375" customWidth="1"/>
    <col min="13329" max="13329" width="8.7109375" customWidth="1"/>
    <col min="13330" max="13330" width="2" customWidth="1"/>
    <col min="13331" max="13331" width="1.28515625" customWidth="1"/>
    <col min="13332" max="13332" width="5.42578125" customWidth="1"/>
    <col min="13333" max="13333" width="6.28515625" customWidth="1"/>
    <col min="13334" max="13334" width="2.28515625" customWidth="1"/>
    <col min="13335" max="13335" width="1" customWidth="1"/>
    <col min="13336" max="13336" width="2.5703125" customWidth="1"/>
    <col min="13337" max="13337" width="1.7109375" customWidth="1"/>
    <col min="13338" max="13338" width="2" customWidth="1"/>
    <col min="13339" max="13339" width="1.28515625" customWidth="1"/>
    <col min="13340" max="13340" width="5.140625" customWidth="1"/>
    <col min="13341" max="13341" width="1" customWidth="1"/>
    <col min="13342" max="13342" width="2.7109375" customWidth="1"/>
    <col min="13343" max="13343" width="1.28515625" customWidth="1"/>
    <col min="13344" max="13344" width="2.28515625" customWidth="1"/>
    <col min="13345" max="13345" width="1" customWidth="1"/>
    <col min="13346" max="13346" width="1.5703125" customWidth="1"/>
    <col min="13347" max="13347" width="1.42578125" customWidth="1"/>
    <col min="13348" max="13348" width="1" customWidth="1"/>
    <col min="13349" max="13349" width="5.28515625" customWidth="1"/>
    <col min="13350" max="13350" width="6" customWidth="1"/>
    <col min="13569" max="13569" width="1.7109375" customWidth="1"/>
    <col min="13570" max="13570" width="9.85546875" customWidth="1"/>
    <col min="13571" max="13571" width="5.28515625" customWidth="1"/>
    <col min="13572" max="13572" width="3.42578125" customWidth="1"/>
    <col min="13573" max="13573" width="1.28515625" customWidth="1"/>
    <col min="13574" max="13574" width="1.7109375" customWidth="1"/>
    <col min="13575" max="13575" width="1.42578125" customWidth="1"/>
    <col min="13576" max="13580" width="1.28515625" customWidth="1"/>
    <col min="13581" max="13581" width="10.85546875" customWidth="1"/>
    <col min="13582" max="13582" width="17.42578125" customWidth="1"/>
    <col min="13583" max="13583" width="3.140625" customWidth="1"/>
    <col min="13584" max="13584" width="4.7109375" customWidth="1"/>
    <col min="13585" max="13585" width="8.7109375" customWidth="1"/>
    <col min="13586" max="13586" width="2" customWidth="1"/>
    <col min="13587" max="13587" width="1.28515625" customWidth="1"/>
    <col min="13588" max="13588" width="5.42578125" customWidth="1"/>
    <col min="13589" max="13589" width="6.28515625" customWidth="1"/>
    <col min="13590" max="13590" width="2.28515625" customWidth="1"/>
    <col min="13591" max="13591" width="1" customWidth="1"/>
    <col min="13592" max="13592" width="2.5703125" customWidth="1"/>
    <col min="13593" max="13593" width="1.7109375" customWidth="1"/>
    <col min="13594" max="13594" width="2" customWidth="1"/>
    <col min="13595" max="13595" width="1.28515625" customWidth="1"/>
    <col min="13596" max="13596" width="5.140625" customWidth="1"/>
    <col min="13597" max="13597" width="1" customWidth="1"/>
    <col min="13598" max="13598" width="2.7109375" customWidth="1"/>
    <col min="13599" max="13599" width="1.28515625" customWidth="1"/>
    <col min="13600" max="13600" width="2.28515625" customWidth="1"/>
    <col min="13601" max="13601" width="1" customWidth="1"/>
    <col min="13602" max="13602" width="1.5703125" customWidth="1"/>
    <col min="13603" max="13603" width="1.42578125" customWidth="1"/>
    <col min="13604" max="13604" width="1" customWidth="1"/>
    <col min="13605" max="13605" width="5.28515625" customWidth="1"/>
    <col min="13606" max="13606" width="6" customWidth="1"/>
    <col min="13825" max="13825" width="1.7109375" customWidth="1"/>
    <col min="13826" max="13826" width="9.85546875" customWidth="1"/>
    <col min="13827" max="13827" width="5.28515625" customWidth="1"/>
    <col min="13828" max="13828" width="3.42578125" customWidth="1"/>
    <col min="13829" max="13829" width="1.28515625" customWidth="1"/>
    <col min="13830" max="13830" width="1.7109375" customWidth="1"/>
    <col min="13831" max="13831" width="1.42578125" customWidth="1"/>
    <col min="13832" max="13836" width="1.28515625" customWidth="1"/>
    <col min="13837" max="13837" width="10.85546875" customWidth="1"/>
    <col min="13838" max="13838" width="17.42578125" customWidth="1"/>
    <col min="13839" max="13839" width="3.140625" customWidth="1"/>
    <col min="13840" max="13840" width="4.7109375" customWidth="1"/>
    <col min="13841" max="13841" width="8.7109375" customWidth="1"/>
    <col min="13842" max="13842" width="2" customWidth="1"/>
    <col min="13843" max="13843" width="1.28515625" customWidth="1"/>
    <col min="13844" max="13844" width="5.42578125" customWidth="1"/>
    <col min="13845" max="13845" width="6.28515625" customWidth="1"/>
    <col min="13846" max="13846" width="2.28515625" customWidth="1"/>
    <col min="13847" max="13847" width="1" customWidth="1"/>
    <col min="13848" max="13848" width="2.5703125" customWidth="1"/>
    <col min="13849" max="13849" width="1.7109375" customWidth="1"/>
    <col min="13850" max="13850" width="2" customWidth="1"/>
    <col min="13851" max="13851" width="1.28515625" customWidth="1"/>
    <col min="13852" max="13852" width="5.140625" customWidth="1"/>
    <col min="13853" max="13853" width="1" customWidth="1"/>
    <col min="13854" max="13854" width="2.7109375" customWidth="1"/>
    <col min="13855" max="13855" width="1.28515625" customWidth="1"/>
    <col min="13856" max="13856" width="2.28515625" customWidth="1"/>
    <col min="13857" max="13857" width="1" customWidth="1"/>
    <col min="13858" max="13858" width="1.5703125" customWidth="1"/>
    <col min="13859" max="13859" width="1.42578125" customWidth="1"/>
    <col min="13860" max="13860" width="1" customWidth="1"/>
    <col min="13861" max="13861" width="5.28515625" customWidth="1"/>
    <col min="13862" max="13862" width="6" customWidth="1"/>
    <col min="14081" max="14081" width="1.7109375" customWidth="1"/>
    <col min="14082" max="14082" width="9.85546875" customWidth="1"/>
    <col min="14083" max="14083" width="5.28515625" customWidth="1"/>
    <col min="14084" max="14084" width="3.42578125" customWidth="1"/>
    <col min="14085" max="14085" width="1.28515625" customWidth="1"/>
    <col min="14086" max="14086" width="1.7109375" customWidth="1"/>
    <col min="14087" max="14087" width="1.42578125" customWidth="1"/>
    <col min="14088" max="14092" width="1.28515625" customWidth="1"/>
    <col min="14093" max="14093" width="10.85546875" customWidth="1"/>
    <col min="14094" max="14094" width="17.42578125" customWidth="1"/>
    <col min="14095" max="14095" width="3.140625" customWidth="1"/>
    <col min="14096" max="14096" width="4.7109375" customWidth="1"/>
    <col min="14097" max="14097" width="8.7109375" customWidth="1"/>
    <col min="14098" max="14098" width="2" customWidth="1"/>
    <col min="14099" max="14099" width="1.28515625" customWidth="1"/>
    <col min="14100" max="14100" width="5.42578125" customWidth="1"/>
    <col min="14101" max="14101" width="6.28515625" customWidth="1"/>
    <col min="14102" max="14102" width="2.28515625" customWidth="1"/>
    <col min="14103" max="14103" width="1" customWidth="1"/>
    <col min="14104" max="14104" width="2.5703125" customWidth="1"/>
    <col min="14105" max="14105" width="1.7109375" customWidth="1"/>
    <col min="14106" max="14106" width="2" customWidth="1"/>
    <col min="14107" max="14107" width="1.28515625" customWidth="1"/>
    <col min="14108" max="14108" width="5.140625" customWidth="1"/>
    <col min="14109" max="14109" width="1" customWidth="1"/>
    <col min="14110" max="14110" width="2.7109375" customWidth="1"/>
    <col min="14111" max="14111" width="1.28515625" customWidth="1"/>
    <col min="14112" max="14112" width="2.28515625" customWidth="1"/>
    <col min="14113" max="14113" width="1" customWidth="1"/>
    <col min="14114" max="14114" width="1.5703125" customWidth="1"/>
    <col min="14115" max="14115" width="1.42578125" customWidth="1"/>
    <col min="14116" max="14116" width="1" customWidth="1"/>
    <col min="14117" max="14117" width="5.28515625" customWidth="1"/>
    <col min="14118" max="14118" width="6" customWidth="1"/>
    <col min="14337" max="14337" width="1.7109375" customWidth="1"/>
    <col min="14338" max="14338" width="9.85546875" customWidth="1"/>
    <col min="14339" max="14339" width="5.28515625" customWidth="1"/>
    <col min="14340" max="14340" width="3.42578125" customWidth="1"/>
    <col min="14341" max="14341" width="1.28515625" customWidth="1"/>
    <col min="14342" max="14342" width="1.7109375" customWidth="1"/>
    <col min="14343" max="14343" width="1.42578125" customWidth="1"/>
    <col min="14344" max="14348" width="1.28515625" customWidth="1"/>
    <col min="14349" max="14349" width="10.85546875" customWidth="1"/>
    <col min="14350" max="14350" width="17.42578125" customWidth="1"/>
    <col min="14351" max="14351" width="3.140625" customWidth="1"/>
    <col min="14352" max="14352" width="4.7109375" customWidth="1"/>
    <col min="14353" max="14353" width="8.7109375" customWidth="1"/>
    <col min="14354" max="14354" width="2" customWidth="1"/>
    <col min="14355" max="14355" width="1.28515625" customWidth="1"/>
    <col min="14356" max="14356" width="5.42578125" customWidth="1"/>
    <col min="14357" max="14357" width="6.28515625" customWidth="1"/>
    <col min="14358" max="14358" width="2.28515625" customWidth="1"/>
    <col min="14359" max="14359" width="1" customWidth="1"/>
    <col min="14360" max="14360" width="2.5703125" customWidth="1"/>
    <col min="14361" max="14361" width="1.7109375" customWidth="1"/>
    <col min="14362" max="14362" width="2" customWidth="1"/>
    <col min="14363" max="14363" width="1.28515625" customWidth="1"/>
    <col min="14364" max="14364" width="5.140625" customWidth="1"/>
    <col min="14365" max="14365" width="1" customWidth="1"/>
    <col min="14366" max="14366" width="2.7109375" customWidth="1"/>
    <col min="14367" max="14367" width="1.28515625" customWidth="1"/>
    <col min="14368" max="14368" width="2.28515625" customWidth="1"/>
    <col min="14369" max="14369" width="1" customWidth="1"/>
    <col min="14370" max="14370" width="1.5703125" customWidth="1"/>
    <col min="14371" max="14371" width="1.42578125" customWidth="1"/>
    <col min="14372" max="14372" width="1" customWidth="1"/>
    <col min="14373" max="14373" width="5.28515625" customWidth="1"/>
    <col min="14374" max="14374" width="6" customWidth="1"/>
    <col min="14593" max="14593" width="1.7109375" customWidth="1"/>
    <col min="14594" max="14594" width="9.85546875" customWidth="1"/>
    <col min="14595" max="14595" width="5.28515625" customWidth="1"/>
    <col min="14596" max="14596" width="3.42578125" customWidth="1"/>
    <col min="14597" max="14597" width="1.28515625" customWidth="1"/>
    <col min="14598" max="14598" width="1.7109375" customWidth="1"/>
    <col min="14599" max="14599" width="1.42578125" customWidth="1"/>
    <col min="14600" max="14604" width="1.28515625" customWidth="1"/>
    <col min="14605" max="14605" width="10.85546875" customWidth="1"/>
    <col min="14606" max="14606" width="17.42578125" customWidth="1"/>
    <col min="14607" max="14607" width="3.140625" customWidth="1"/>
    <col min="14608" max="14608" width="4.7109375" customWidth="1"/>
    <col min="14609" max="14609" width="8.7109375" customWidth="1"/>
    <col min="14610" max="14610" width="2" customWidth="1"/>
    <col min="14611" max="14611" width="1.28515625" customWidth="1"/>
    <col min="14612" max="14612" width="5.42578125" customWidth="1"/>
    <col min="14613" max="14613" width="6.28515625" customWidth="1"/>
    <col min="14614" max="14614" width="2.28515625" customWidth="1"/>
    <col min="14615" max="14615" width="1" customWidth="1"/>
    <col min="14616" max="14616" width="2.5703125" customWidth="1"/>
    <col min="14617" max="14617" width="1.7109375" customWidth="1"/>
    <col min="14618" max="14618" width="2" customWidth="1"/>
    <col min="14619" max="14619" width="1.28515625" customWidth="1"/>
    <col min="14620" max="14620" width="5.140625" customWidth="1"/>
    <col min="14621" max="14621" width="1" customWidth="1"/>
    <col min="14622" max="14622" width="2.7109375" customWidth="1"/>
    <col min="14623" max="14623" width="1.28515625" customWidth="1"/>
    <col min="14624" max="14624" width="2.28515625" customWidth="1"/>
    <col min="14625" max="14625" width="1" customWidth="1"/>
    <col min="14626" max="14626" width="1.5703125" customWidth="1"/>
    <col min="14627" max="14627" width="1.42578125" customWidth="1"/>
    <col min="14628" max="14628" width="1" customWidth="1"/>
    <col min="14629" max="14629" width="5.28515625" customWidth="1"/>
    <col min="14630" max="14630" width="6" customWidth="1"/>
    <col min="14849" max="14849" width="1.7109375" customWidth="1"/>
    <col min="14850" max="14850" width="9.85546875" customWidth="1"/>
    <col min="14851" max="14851" width="5.28515625" customWidth="1"/>
    <col min="14852" max="14852" width="3.42578125" customWidth="1"/>
    <col min="14853" max="14853" width="1.28515625" customWidth="1"/>
    <col min="14854" max="14854" width="1.7109375" customWidth="1"/>
    <col min="14855" max="14855" width="1.42578125" customWidth="1"/>
    <col min="14856" max="14860" width="1.28515625" customWidth="1"/>
    <col min="14861" max="14861" width="10.85546875" customWidth="1"/>
    <col min="14862" max="14862" width="17.42578125" customWidth="1"/>
    <col min="14863" max="14863" width="3.140625" customWidth="1"/>
    <col min="14864" max="14864" width="4.7109375" customWidth="1"/>
    <col min="14865" max="14865" width="8.7109375" customWidth="1"/>
    <col min="14866" max="14866" width="2" customWidth="1"/>
    <col min="14867" max="14867" width="1.28515625" customWidth="1"/>
    <col min="14868" max="14868" width="5.42578125" customWidth="1"/>
    <col min="14869" max="14869" width="6.28515625" customWidth="1"/>
    <col min="14870" max="14870" width="2.28515625" customWidth="1"/>
    <col min="14871" max="14871" width="1" customWidth="1"/>
    <col min="14872" max="14872" width="2.5703125" customWidth="1"/>
    <col min="14873" max="14873" width="1.7109375" customWidth="1"/>
    <col min="14874" max="14874" width="2" customWidth="1"/>
    <col min="14875" max="14875" width="1.28515625" customWidth="1"/>
    <col min="14876" max="14876" width="5.140625" customWidth="1"/>
    <col min="14877" max="14877" width="1" customWidth="1"/>
    <col min="14878" max="14878" width="2.7109375" customWidth="1"/>
    <col min="14879" max="14879" width="1.28515625" customWidth="1"/>
    <col min="14880" max="14880" width="2.28515625" customWidth="1"/>
    <col min="14881" max="14881" width="1" customWidth="1"/>
    <col min="14882" max="14882" width="1.5703125" customWidth="1"/>
    <col min="14883" max="14883" width="1.42578125" customWidth="1"/>
    <col min="14884" max="14884" width="1" customWidth="1"/>
    <col min="14885" max="14885" width="5.28515625" customWidth="1"/>
    <col min="14886" max="14886" width="6" customWidth="1"/>
    <col min="15105" max="15105" width="1.7109375" customWidth="1"/>
    <col min="15106" max="15106" width="9.85546875" customWidth="1"/>
    <col min="15107" max="15107" width="5.28515625" customWidth="1"/>
    <col min="15108" max="15108" width="3.42578125" customWidth="1"/>
    <col min="15109" max="15109" width="1.28515625" customWidth="1"/>
    <col min="15110" max="15110" width="1.7109375" customWidth="1"/>
    <col min="15111" max="15111" width="1.42578125" customWidth="1"/>
    <col min="15112" max="15116" width="1.28515625" customWidth="1"/>
    <col min="15117" max="15117" width="10.85546875" customWidth="1"/>
    <col min="15118" max="15118" width="17.42578125" customWidth="1"/>
    <col min="15119" max="15119" width="3.140625" customWidth="1"/>
    <col min="15120" max="15120" width="4.7109375" customWidth="1"/>
    <col min="15121" max="15121" width="8.7109375" customWidth="1"/>
    <col min="15122" max="15122" width="2" customWidth="1"/>
    <col min="15123" max="15123" width="1.28515625" customWidth="1"/>
    <col min="15124" max="15124" width="5.42578125" customWidth="1"/>
    <col min="15125" max="15125" width="6.28515625" customWidth="1"/>
    <col min="15126" max="15126" width="2.28515625" customWidth="1"/>
    <col min="15127" max="15127" width="1" customWidth="1"/>
    <col min="15128" max="15128" width="2.5703125" customWidth="1"/>
    <col min="15129" max="15129" width="1.7109375" customWidth="1"/>
    <col min="15130" max="15130" width="2" customWidth="1"/>
    <col min="15131" max="15131" width="1.28515625" customWidth="1"/>
    <col min="15132" max="15132" width="5.140625" customWidth="1"/>
    <col min="15133" max="15133" width="1" customWidth="1"/>
    <col min="15134" max="15134" width="2.7109375" customWidth="1"/>
    <col min="15135" max="15135" width="1.28515625" customWidth="1"/>
    <col min="15136" max="15136" width="2.28515625" customWidth="1"/>
    <col min="15137" max="15137" width="1" customWidth="1"/>
    <col min="15138" max="15138" width="1.5703125" customWidth="1"/>
    <col min="15139" max="15139" width="1.42578125" customWidth="1"/>
    <col min="15140" max="15140" width="1" customWidth="1"/>
    <col min="15141" max="15141" width="5.28515625" customWidth="1"/>
    <col min="15142" max="15142" width="6" customWidth="1"/>
    <col min="15361" max="15361" width="1.7109375" customWidth="1"/>
    <col min="15362" max="15362" width="9.85546875" customWidth="1"/>
    <col min="15363" max="15363" width="5.28515625" customWidth="1"/>
    <col min="15364" max="15364" width="3.42578125" customWidth="1"/>
    <col min="15365" max="15365" width="1.28515625" customWidth="1"/>
    <col min="15366" max="15366" width="1.7109375" customWidth="1"/>
    <col min="15367" max="15367" width="1.42578125" customWidth="1"/>
    <col min="15368" max="15372" width="1.28515625" customWidth="1"/>
    <col min="15373" max="15373" width="10.85546875" customWidth="1"/>
    <col min="15374" max="15374" width="17.42578125" customWidth="1"/>
    <col min="15375" max="15375" width="3.140625" customWidth="1"/>
    <col min="15376" max="15376" width="4.7109375" customWidth="1"/>
    <col min="15377" max="15377" width="8.7109375" customWidth="1"/>
    <col min="15378" max="15378" width="2" customWidth="1"/>
    <col min="15379" max="15379" width="1.28515625" customWidth="1"/>
    <col min="15380" max="15380" width="5.42578125" customWidth="1"/>
    <col min="15381" max="15381" width="6.28515625" customWidth="1"/>
    <col min="15382" max="15382" width="2.28515625" customWidth="1"/>
    <col min="15383" max="15383" width="1" customWidth="1"/>
    <col min="15384" max="15384" width="2.5703125" customWidth="1"/>
    <col min="15385" max="15385" width="1.7109375" customWidth="1"/>
    <col min="15386" max="15386" width="2" customWidth="1"/>
    <col min="15387" max="15387" width="1.28515625" customWidth="1"/>
    <col min="15388" max="15388" width="5.140625" customWidth="1"/>
    <col min="15389" max="15389" width="1" customWidth="1"/>
    <col min="15390" max="15390" width="2.7109375" customWidth="1"/>
    <col min="15391" max="15391" width="1.28515625" customWidth="1"/>
    <col min="15392" max="15392" width="2.28515625" customWidth="1"/>
    <col min="15393" max="15393" width="1" customWidth="1"/>
    <col min="15394" max="15394" width="1.5703125" customWidth="1"/>
    <col min="15395" max="15395" width="1.42578125" customWidth="1"/>
    <col min="15396" max="15396" width="1" customWidth="1"/>
    <col min="15397" max="15397" width="5.28515625" customWidth="1"/>
    <col min="15398" max="15398" width="6" customWidth="1"/>
    <col min="15617" max="15617" width="1.7109375" customWidth="1"/>
    <col min="15618" max="15618" width="9.85546875" customWidth="1"/>
    <col min="15619" max="15619" width="5.28515625" customWidth="1"/>
    <col min="15620" max="15620" width="3.42578125" customWidth="1"/>
    <col min="15621" max="15621" width="1.28515625" customWidth="1"/>
    <col min="15622" max="15622" width="1.7109375" customWidth="1"/>
    <col min="15623" max="15623" width="1.42578125" customWidth="1"/>
    <col min="15624" max="15628" width="1.28515625" customWidth="1"/>
    <col min="15629" max="15629" width="10.85546875" customWidth="1"/>
    <col min="15630" max="15630" width="17.42578125" customWidth="1"/>
    <col min="15631" max="15631" width="3.140625" customWidth="1"/>
    <col min="15632" max="15632" width="4.7109375" customWidth="1"/>
    <col min="15633" max="15633" width="8.7109375" customWidth="1"/>
    <col min="15634" max="15634" width="2" customWidth="1"/>
    <col min="15635" max="15635" width="1.28515625" customWidth="1"/>
    <col min="15636" max="15636" width="5.42578125" customWidth="1"/>
    <col min="15637" max="15637" width="6.28515625" customWidth="1"/>
    <col min="15638" max="15638" width="2.28515625" customWidth="1"/>
    <col min="15639" max="15639" width="1" customWidth="1"/>
    <col min="15640" max="15640" width="2.5703125" customWidth="1"/>
    <col min="15641" max="15641" width="1.7109375" customWidth="1"/>
    <col min="15642" max="15642" width="2" customWidth="1"/>
    <col min="15643" max="15643" width="1.28515625" customWidth="1"/>
    <col min="15644" max="15644" width="5.140625" customWidth="1"/>
    <col min="15645" max="15645" width="1" customWidth="1"/>
    <col min="15646" max="15646" width="2.7109375" customWidth="1"/>
    <col min="15647" max="15647" width="1.28515625" customWidth="1"/>
    <col min="15648" max="15648" width="2.28515625" customWidth="1"/>
    <col min="15649" max="15649" width="1" customWidth="1"/>
    <col min="15650" max="15650" width="1.5703125" customWidth="1"/>
    <col min="15651" max="15651" width="1.42578125" customWidth="1"/>
    <col min="15652" max="15652" width="1" customWidth="1"/>
    <col min="15653" max="15653" width="5.28515625" customWidth="1"/>
    <col min="15654" max="15654" width="6" customWidth="1"/>
    <col min="15873" max="15873" width="1.7109375" customWidth="1"/>
    <col min="15874" max="15874" width="9.85546875" customWidth="1"/>
    <col min="15875" max="15875" width="5.28515625" customWidth="1"/>
    <col min="15876" max="15876" width="3.42578125" customWidth="1"/>
    <col min="15877" max="15877" width="1.28515625" customWidth="1"/>
    <col min="15878" max="15878" width="1.7109375" customWidth="1"/>
    <col min="15879" max="15879" width="1.42578125" customWidth="1"/>
    <col min="15880" max="15884" width="1.28515625" customWidth="1"/>
    <col min="15885" max="15885" width="10.85546875" customWidth="1"/>
    <col min="15886" max="15886" width="17.42578125" customWidth="1"/>
    <col min="15887" max="15887" width="3.140625" customWidth="1"/>
    <col min="15888" max="15888" width="4.7109375" customWidth="1"/>
    <col min="15889" max="15889" width="8.7109375" customWidth="1"/>
    <col min="15890" max="15890" width="2" customWidth="1"/>
    <col min="15891" max="15891" width="1.28515625" customWidth="1"/>
    <col min="15892" max="15892" width="5.42578125" customWidth="1"/>
    <col min="15893" max="15893" width="6.28515625" customWidth="1"/>
    <col min="15894" max="15894" width="2.28515625" customWidth="1"/>
    <col min="15895" max="15895" width="1" customWidth="1"/>
    <col min="15896" max="15896" width="2.5703125" customWidth="1"/>
    <col min="15897" max="15897" width="1.7109375" customWidth="1"/>
    <col min="15898" max="15898" width="2" customWidth="1"/>
    <col min="15899" max="15899" width="1.28515625" customWidth="1"/>
    <col min="15900" max="15900" width="5.140625" customWidth="1"/>
    <col min="15901" max="15901" width="1" customWidth="1"/>
    <col min="15902" max="15902" width="2.7109375" customWidth="1"/>
    <col min="15903" max="15903" width="1.28515625" customWidth="1"/>
    <col min="15904" max="15904" width="2.28515625" customWidth="1"/>
    <col min="15905" max="15905" width="1" customWidth="1"/>
    <col min="15906" max="15906" width="1.5703125" customWidth="1"/>
    <col min="15907" max="15907" width="1.42578125" customWidth="1"/>
    <col min="15908" max="15908" width="1" customWidth="1"/>
    <col min="15909" max="15909" width="5.28515625" customWidth="1"/>
    <col min="15910" max="15910" width="6" customWidth="1"/>
    <col min="16129" max="16129" width="1.7109375" customWidth="1"/>
    <col min="16130" max="16130" width="9.85546875" customWidth="1"/>
    <col min="16131" max="16131" width="5.28515625" customWidth="1"/>
    <col min="16132" max="16132" width="3.42578125" customWidth="1"/>
    <col min="16133" max="16133" width="1.28515625" customWidth="1"/>
    <col min="16134" max="16134" width="1.7109375" customWidth="1"/>
    <col min="16135" max="16135" width="1.42578125" customWidth="1"/>
    <col min="16136" max="16140" width="1.28515625" customWidth="1"/>
    <col min="16141" max="16141" width="10.85546875" customWidth="1"/>
    <col min="16142" max="16142" width="17.42578125" customWidth="1"/>
    <col min="16143" max="16143" width="3.140625" customWidth="1"/>
    <col min="16144" max="16144" width="4.7109375" customWidth="1"/>
    <col min="16145" max="16145" width="8.7109375" customWidth="1"/>
    <col min="16146" max="16146" width="2" customWidth="1"/>
    <col min="16147" max="16147" width="1.28515625" customWidth="1"/>
    <col min="16148" max="16148" width="5.42578125" customWidth="1"/>
    <col min="16149" max="16149" width="6.28515625" customWidth="1"/>
    <col min="16150" max="16150" width="2.28515625" customWidth="1"/>
    <col min="16151" max="16151" width="1" customWidth="1"/>
    <col min="16152" max="16152" width="2.5703125" customWidth="1"/>
    <col min="16153" max="16153" width="1.7109375" customWidth="1"/>
    <col min="16154" max="16154" width="2" customWidth="1"/>
    <col min="16155" max="16155" width="1.28515625" customWidth="1"/>
    <col min="16156" max="16156" width="5.140625" customWidth="1"/>
    <col min="16157" max="16157" width="1" customWidth="1"/>
    <col min="16158" max="16158" width="2.7109375" customWidth="1"/>
    <col min="16159" max="16159" width="1.28515625" customWidth="1"/>
    <col min="16160" max="16160" width="2.28515625" customWidth="1"/>
    <col min="16161" max="16161" width="1" customWidth="1"/>
    <col min="16162" max="16162" width="1.5703125" customWidth="1"/>
    <col min="16163" max="16163" width="1.42578125" customWidth="1"/>
    <col min="16164" max="16164" width="1" customWidth="1"/>
    <col min="16165" max="16165" width="5.28515625" customWidth="1"/>
    <col min="16166" max="16166" width="6" customWidth="1"/>
  </cols>
  <sheetData>
    <row r="1" spans="1:38" ht="13.35" customHeight="1" x14ac:dyDescent="0.25">
      <c r="C1" s="630" t="s">
        <v>3318</v>
      </c>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row>
    <row r="2" spans="1:38" ht="11.1" customHeight="1" x14ac:dyDescent="0.25">
      <c r="C2" s="630" t="s">
        <v>2589</v>
      </c>
      <c r="D2" s="630"/>
      <c r="E2" s="630"/>
      <c r="F2" s="630"/>
      <c r="G2" s="630"/>
      <c r="H2" s="630"/>
      <c r="I2" s="630"/>
      <c r="J2" s="630"/>
      <c r="K2" s="630"/>
      <c r="L2" s="630"/>
      <c r="M2" s="630"/>
      <c r="O2" s="642" t="s">
        <v>2590</v>
      </c>
      <c r="P2" s="642"/>
      <c r="Q2" s="642"/>
      <c r="R2" s="642"/>
      <c r="Z2" s="630" t="s">
        <v>2591</v>
      </c>
      <c r="AA2" s="630"/>
      <c r="AB2" s="630"/>
      <c r="AD2" s="643"/>
      <c r="AE2" s="643"/>
      <c r="AF2" s="643"/>
      <c r="AG2" s="643"/>
      <c r="AI2" s="630" t="s">
        <v>2192</v>
      </c>
      <c r="AJ2" s="630"/>
      <c r="AK2" s="630"/>
      <c r="AL2" s="431">
        <v>0</v>
      </c>
    </row>
    <row r="3" spans="1:38" ht="12.6" customHeight="1" x14ac:dyDescent="0.25">
      <c r="C3" s="630"/>
      <c r="D3" s="630"/>
      <c r="E3" s="630"/>
      <c r="F3" s="630"/>
      <c r="G3" s="630"/>
      <c r="H3" s="630"/>
      <c r="I3" s="630"/>
      <c r="J3" s="630"/>
      <c r="K3" s="630"/>
      <c r="L3" s="630"/>
      <c r="M3" s="630"/>
      <c r="N3" s="630"/>
      <c r="O3" s="630"/>
      <c r="P3" s="630"/>
      <c r="Q3" s="630"/>
      <c r="V3" s="630" t="s">
        <v>3319</v>
      </c>
      <c r="W3" s="630"/>
      <c r="X3" s="630"/>
      <c r="Y3" s="630"/>
      <c r="Z3" s="630"/>
      <c r="AB3" s="639">
        <v>44166</v>
      </c>
      <c r="AC3" s="639"/>
      <c r="AD3" s="639"/>
      <c r="AE3" s="639"/>
      <c r="AF3" s="639"/>
      <c r="AH3" s="640" t="s">
        <v>3320</v>
      </c>
      <c r="AI3" s="640"/>
      <c r="AK3" s="641">
        <v>44196</v>
      </c>
      <c r="AL3" s="641"/>
    </row>
    <row r="4" spans="1:38" ht="11.85" customHeight="1" x14ac:dyDescent="0.25">
      <c r="C4" s="630"/>
      <c r="D4" s="630"/>
      <c r="E4" s="630"/>
      <c r="F4" s="630"/>
      <c r="G4" s="630"/>
      <c r="H4" s="630"/>
      <c r="I4" s="630"/>
      <c r="J4" s="630"/>
      <c r="K4" s="630"/>
      <c r="L4" s="630"/>
      <c r="M4" s="630"/>
      <c r="N4" s="630"/>
      <c r="O4" s="630"/>
      <c r="P4" s="630"/>
      <c r="Q4" s="630"/>
    </row>
    <row r="5" spans="1:38" ht="14.1" customHeight="1" x14ac:dyDescent="0.25">
      <c r="B5" s="630" t="s">
        <v>2593</v>
      </c>
      <c r="C5" s="630"/>
      <c r="D5" s="630"/>
      <c r="E5" s="630"/>
      <c r="F5" s="630"/>
      <c r="J5" s="630" t="s">
        <v>2594</v>
      </c>
      <c r="K5" s="630"/>
      <c r="L5" s="630"/>
      <c r="M5" s="630"/>
      <c r="N5" s="630"/>
      <c r="O5" s="630"/>
      <c r="P5" s="638" t="s">
        <v>2595</v>
      </c>
      <c r="Q5" s="638"/>
      <c r="R5" s="638"/>
      <c r="U5" s="638" t="s">
        <v>2596</v>
      </c>
      <c r="V5" s="638"/>
      <c r="AA5" s="638" t="s">
        <v>2597</v>
      </c>
      <c r="AB5" s="638"/>
      <c r="AC5" s="638"/>
      <c r="AD5" s="638"/>
      <c r="AJ5" s="638" t="s">
        <v>2598</v>
      </c>
      <c r="AK5" s="638"/>
      <c r="AL5" s="638"/>
    </row>
    <row r="6" spans="1:38" ht="11.1" customHeight="1" x14ac:dyDescent="0.25">
      <c r="A6" s="632" t="s">
        <v>3321</v>
      </c>
      <c r="B6" s="632"/>
      <c r="C6" s="632"/>
      <c r="H6" s="632" t="s">
        <v>270</v>
      </c>
      <c r="I6" s="632"/>
      <c r="J6" s="632"/>
      <c r="K6" s="632"/>
      <c r="L6" s="632"/>
      <c r="M6" s="632"/>
      <c r="N6" s="632"/>
      <c r="O6" s="632"/>
      <c r="P6" s="632"/>
      <c r="Q6" s="633">
        <v>518679039.60000002</v>
      </c>
      <c r="R6" s="633"/>
      <c r="T6" s="634">
        <v>82783076.5</v>
      </c>
      <c r="U6" s="634"/>
      <c r="V6" s="634"/>
      <c r="Y6" s="634">
        <v>80492259.430000007</v>
      </c>
      <c r="Z6" s="634"/>
      <c r="AA6" s="634"/>
      <c r="AB6" s="634"/>
      <c r="AC6" s="634"/>
      <c r="AD6" s="634"/>
      <c r="AF6" s="633">
        <v>520969856.67000002</v>
      </c>
      <c r="AG6" s="633"/>
      <c r="AH6" s="633"/>
      <c r="AI6" s="633"/>
      <c r="AJ6" s="633"/>
      <c r="AK6" s="633"/>
      <c r="AL6" s="633"/>
    </row>
    <row r="7" spans="1:38" ht="11.1" customHeight="1" x14ac:dyDescent="0.25">
      <c r="A7" s="632" t="s">
        <v>3322</v>
      </c>
      <c r="B7" s="632"/>
      <c r="C7" s="632"/>
      <c r="H7" s="632" t="s">
        <v>273</v>
      </c>
      <c r="I7" s="632"/>
      <c r="J7" s="632"/>
      <c r="K7" s="632"/>
      <c r="L7" s="632"/>
      <c r="M7" s="632"/>
      <c r="N7" s="632"/>
      <c r="O7" s="632"/>
      <c r="P7" s="632"/>
      <c r="Q7" s="633">
        <v>258502619.69</v>
      </c>
      <c r="R7" s="633"/>
      <c r="T7" s="634">
        <v>68900475.299999997</v>
      </c>
      <c r="U7" s="634"/>
      <c r="V7" s="634"/>
      <c r="Y7" s="634">
        <v>72208097.120000005</v>
      </c>
      <c r="Z7" s="634"/>
      <c r="AA7" s="634"/>
      <c r="AB7" s="634"/>
      <c r="AC7" s="634"/>
      <c r="AD7" s="634"/>
      <c r="AF7" s="633">
        <v>255194997.87</v>
      </c>
      <c r="AG7" s="633"/>
      <c r="AH7" s="633"/>
      <c r="AI7" s="633"/>
      <c r="AJ7" s="633"/>
      <c r="AK7" s="633"/>
      <c r="AL7" s="633"/>
    </row>
    <row r="8" spans="1:38" ht="11.1" customHeight="1" x14ac:dyDescent="0.25">
      <c r="A8" s="632" t="s">
        <v>3323</v>
      </c>
      <c r="B8" s="632"/>
      <c r="C8" s="632"/>
      <c r="H8" s="632" t="s">
        <v>275</v>
      </c>
      <c r="I8" s="632"/>
      <c r="J8" s="632"/>
      <c r="K8" s="632"/>
      <c r="L8" s="632"/>
      <c r="M8" s="632"/>
      <c r="N8" s="632"/>
      <c r="O8" s="632"/>
      <c r="P8" s="632"/>
      <c r="Q8" s="633">
        <v>224889834.05000001</v>
      </c>
      <c r="R8" s="633"/>
      <c r="T8" s="634">
        <v>47295613.049999997</v>
      </c>
      <c r="U8" s="634"/>
      <c r="V8" s="634"/>
      <c r="Y8" s="634">
        <v>40417321.68</v>
      </c>
      <c r="Z8" s="634"/>
      <c r="AA8" s="634"/>
      <c r="AB8" s="634"/>
      <c r="AC8" s="634"/>
      <c r="AD8" s="634"/>
      <c r="AF8" s="633">
        <v>231768125.41999999</v>
      </c>
      <c r="AG8" s="633"/>
      <c r="AH8" s="633"/>
      <c r="AI8" s="633"/>
      <c r="AJ8" s="633"/>
      <c r="AK8" s="633"/>
      <c r="AL8" s="633"/>
    </row>
    <row r="9" spans="1:38" ht="11.1" customHeight="1" x14ac:dyDescent="0.25">
      <c r="A9" s="632" t="s">
        <v>3324</v>
      </c>
      <c r="B9" s="632"/>
      <c r="C9" s="632"/>
      <c r="I9" s="632" t="s">
        <v>277</v>
      </c>
      <c r="J9" s="632"/>
      <c r="K9" s="632"/>
      <c r="L9" s="632"/>
      <c r="M9" s="632"/>
      <c r="N9" s="632"/>
      <c r="O9" s="632"/>
      <c r="P9" s="632"/>
      <c r="Q9" s="633">
        <v>136377.60999999999</v>
      </c>
      <c r="R9" s="633"/>
      <c r="T9" s="634">
        <v>28542730.52</v>
      </c>
      <c r="U9" s="634"/>
      <c r="V9" s="634"/>
      <c r="Y9" s="634">
        <v>28631012.629999999</v>
      </c>
      <c r="Z9" s="634"/>
      <c r="AA9" s="634"/>
      <c r="AB9" s="634"/>
      <c r="AC9" s="634"/>
      <c r="AD9" s="634"/>
      <c r="AF9" s="633">
        <v>48095.5</v>
      </c>
      <c r="AG9" s="633"/>
      <c r="AH9" s="633"/>
      <c r="AI9" s="633"/>
      <c r="AJ9" s="633"/>
      <c r="AK9" s="633"/>
      <c r="AL9" s="633"/>
    </row>
    <row r="10" spans="1:38" ht="11.1" customHeight="1" x14ac:dyDescent="0.25">
      <c r="A10" s="632" t="s">
        <v>3325</v>
      </c>
      <c r="B10" s="632"/>
      <c r="C10" s="632"/>
      <c r="J10" s="632" t="s">
        <v>279</v>
      </c>
      <c r="K10" s="632"/>
      <c r="L10" s="632"/>
      <c r="M10" s="632"/>
      <c r="N10" s="632"/>
      <c r="O10" s="632"/>
      <c r="P10" s="632"/>
      <c r="Q10" s="633">
        <v>342.35</v>
      </c>
      <c r="R10" s="633"/>
      <c r="T10" s="634">
        <v>857.65</v>
      </c>
      <c r="U10" s="634"/>
      <c r="V10" s="634"/>
      <c r="Y10" s="634">
        <v>993.6</v>
      </c>
      <c r="Z10" s="634"/>
      <c r="AA10" s="634"/>
      <c r="AB10" s="634"/>
      <c r="AC10" s="634"/>
      <c r="AD10" s="634"/>
      <c r="AF10" s="633">
        <v>206.4</v>
      </c>
      <c r="AG10" s="633"/>
      <c r="AH10" s="633"/>
      <c r="AI10" s="633"/>
      <c r="AJ10" s="633"/>
      <c r="AK10" s="633"/>
      <c r="AL10" s="633"/>
    </row>
    <row r="11" spans="1:38" ht="11.1" customHeight="1" x14ac:dyDescent="0.25">
      <c r="A11" s="630" t="s">
        <v>3326</v>
      </c>
      <c r="B11" s="630"/>
      <c r="C11" s="630"/>
      <c r="K11" s="630" t="s">
        <v>277</v>
      </c>
      <c r="L11" s="630"/>
      <c r="M11" s="630"/>
      <c r="N11" s="630"/>
      <c r="O11" s="630"/>
      <c r="P11" s="630"/>
      <c r="Q11" s="627">
        <v>342.35</v>
      </c>
      <c r="R11" s="627"/>
      <c r="T11" s="631">
        <v>857.65</v>
      </c>
      <c r="U11" s="631"/>
      <c r="V11" s="631"/>
      <c r="Y11" s="631">
        <v>993.6</v>
      </c>
      <c r="Z11" s="631"/>
      <c r="AA11" s="631"/>
      <c r="AB11" s="631"/>
      <c r="AC11" s="631"/>
      <c r="AD11" s="631"/>
      <c r="AF11" s="627">
        <v>206.4</v>
      </c>
      <c r="AG11" s="627"/>
      <c r="AH11" s="627"/>
      <c r="AI11" s="627"/>
      <c r="AJ11" s="627"/>
      <c r="AK11" s="627"/>
      <c r="AL11" s="627"/>
    </row>
    <row r="12" spans="1:38" ht="11.1" customHeight="1" x14ac:dyDescent="0.25">
      <c r="A12" s="630" t="s">
        <v>3327</v>
      </c>
      <c r="B12" s="630"/>
      <c r="C12" s="630"/>
      <c r="L12" s="630" t="s">
        <v>277</v>
      </c>
      <c r="M12" s="630"/>
      <c r="N12" s="630"/>
      <c r="O12" s="630"/>
      <c r="P12" s="630"/>
      <c r="Q12" s="627">
        <v>342.35</v>
      </c>
      <c r="R12" s="627"/>
      <c r="T12" s="631">
        <v>857.65</v>
      </c>
      <c r="U12" s="631"/>
      <c r="V12" s="631"/>
      <c r="Y12" s="631">
        <v>993.6</v>
      </c>
      <c r="Z12" s="631"/>
      <c r="AA12" s="631"/>
      <c r="AB12" s="631"/>
      <c r="AC12" s="631"/>
      <c r="AD12" s="631"/>
      <c r="AF12" s="627">
        <v>206.4</v>
      </c>
      <c r="AG12" s="627"/>
      <c r="AH12" s="627"/>
      <c r="AI12" s="627"/>
      <c r="AJ12" s="627"/>
      <c r="AK12" s="627"/>
      <c r="AL12" s="627"/>
    </row>
    <row r="13" spans="1:38" ht="11.1" customHeight="1" x14ac:dyDescent="0.25">
      <c r="A13" s="630" t="s">
        <v>3328</v>
      </c>
      <c r="B13" s="630"/>
      <c r="C13" s="630"/>
      <c r="M13" s="630" t="s">
        <v>277</v>
      </c>
      <c r="N13" s="630"/>
      <c r="O13" s="630"/>
      <c r="P13" s="630"/>
      <c r="Q13" s="627">
        <v>342.35</v>
      </c>
      <c r="R13" s="627"/>
      <c r="T13" s="631">
        <v>857.65</v>
      </c>
      <c r="U13" s="631"/>
      <c r="V13" s="631"/>
      <c r="Y13" s="631">
        <v>993.6</v>
      </c>
      <c r="Z13" s="631"/>
      <c r="AA13" s="631"/>
      <c r="AB13" s="631"/>
      <c r="AC13" s="631"/>
      <c r="AD13" s="631"/>
      <c r="AF13" s="627">
        <v>206.4</v>
      </c>
      <c r="AG13" s="627"/>
      <c r="AH13" s="627"/>
      <c r="AI13" s="627"/>
      <c r="AJ13" s="627"/>
      <c r="AK13" s="627"/>
      <c r="AL13" s="627"/>
    </row>
    <row r="14" spans="1:38" ht="11.1" customHeight="1" x14ac:dyDescent="0.25">
      <c r="A14" s="632" t="s">
        <v>3329</v>
      </c>
      <c r="B14" s="632"/>
      <c r="C14" s="632"/>
      <c r="J14" s="632" t="s">
        <v>285</v>
      </c>
      <c r="K14" s="632"/>
      <c r="L14" s="632"/>
      <c r="M14" s="632"/>
      <c r="N14" s="632"/>
      <c r="O14" s="632"/>
      <c r="P14" s="632"/>
      <c r="Q14" s="633">
        <v>136039.88</v>
      </c>
      <c r="R14" s="633"/>
      <c r="T14" s="634">
        <v>28541672.870000001</v>
      </c>
      <c r="U14" s="634"/>
      <c r="V14" s="634"/>
      <c r="Y14" s="634">
        <v>28630019.02</v>
      </c>
      <c r="Z14" s="634"/>
      <c r="AA14" s="634"/>
      <c r="AB14" s="634"/>
      <c r="AC14" s="634"/>
      <c r="AD14" s="634"/>
      <c r="AF14" s="633">
        <v>47693.73</v>
      </c>
      <c r="AG14" s="633"/>
      <c r="AH14" s="633"/>
      <c r="AI14" s="633"/>
      <c r="AJ14" s="633"/>
      <c r="AK14" s="633"/>
      <c r="AL14" s="633"/>
    </row>
    <row r="15" spans="1:38" ht="11.1" customHeight="1" x14ac:dyDescent="0.25">
      <c r="A15" s="630" t="s">
        <v>3330</v>
      </c>
      <c r="B15" s="630"/>
      <c r="C15" s="630"/>
      <c r="K15" s="630" t="s">
        <v>287</v>
      </c>
      <c r="L15" s="630"/>
      <c r="M15" s="630"/>
      <c r="N15" s="630"/>
      <c r="O15" s="630"/>
      <c r="P15" s="630"/>
      <c r="Q15" s="627">
        <v>136039.88</v>
      </c>
      <c r="R15" s="627"/>
      <c r="T15" s="631">
        <v>28541672.870000001</v>
      </c>
      <c r="U15" s="631"/>
      <c r="V15" s="631"/>
      <c r="Y15" s="631">
        <v>28630019.02</v>
      </c>
      <c r="Z15" s="631"/>
      <c r="AA15" s="631"/>
      <c r="AB15" s="631"/>
      <c r="AC15" s="631"/>
      <c r="AD15" s="631"/>
      <c r="AF15" s="627">
        <v>47693.73</v>
      </c>
      <c r="AG15" s="627"/>
      <c r="AH15" s="627"/>
      <c r="AI15" s="627"/>
      <c r="AJ15" s="627"/>
      <c r="AK15" s="627"/>
      <c r="AL15" s="627"/>
    </row>
    <row r="16" spans="1:38" ht="11.1" customHeight="1" x14ac:dyDescent="0.25">
      <c r="A16" s="630" t="s">
        <v>3331</v>
      </c>
      <c r="B16" s="630"/>
      <c r="C16" s="630"/>
      <c r="L16" s="630" t="s">
        <v>287</v>
      </c>
      <c r="M16" s="630"/>
      <c r="N16" s="630"/>
      <c r="O16" s="630"/>
      <c r="P16" s="630"/>
      <c r="Q16" s="627">
        <v>134855.39000000001</v>
      </c>
      <c r="R16" s="627"/>
      <c r="T16" s="631">
        <v>28536163.829999998</v>
      </c>
      <c r="U16" s="631"/>
      <c r="V16" s="631"/>
      <c r="Y16" s="631">
        <v>28630019.02</v>
      </c>
      <c r="Z16" s="631"/>
      <c r="AA16" s="631"/>
      <c r="AB16" s="631"/>
      <c r="AC16" s="631"/>
      <c r="AD16" s="631"/>
      <c r="AF16" s="627">
        <v>41000.199999999997</v>
      </c>
      <c r="AG16" s="627"/>
      <c r="AH16" s="627"/>
      <c r="AI16" s="627"/>
      <c r="AJ16" s="627"/>
      <c r="AK16" s="627"/>
      <c r="AL16" s="627"/>
    </row>
    <row r="17" spans="1:38" ht="11.1" customHeight="1" x14ac:dyDescent="0.25">
      <c r="A17" s="630" t="s">
        <v>3332</v>
      </c>
      <c r="B17" s="630"/>
      <c r="C17" s="630"/>
      <c r="M17" s="630" t="s">
        <v>290</v>
      </c>
      <c r="N17" s="630"/>
      <c r="O17" s="630"/>
      <c r="P17" s="630"/>
      <c r="Q17" s="627">
        <v>0</v>
      </c>
      <c r="R17" s="627"/>
      <c r="T17" s="631">
        <v>220786.66</v>
      </c>
      <c r="U17" s="631"/>
      <c r="V17" s="631"/>
      <c r="Y17" s="631">
        <v>220786.66</v>
      </c>
      <c r="Z17" s="631"/>
      <c r="AA17" s="631"/>
      <c r="AB17" s="631"/>
      <c r="AC17" s="631"/>
      <c r="AD17" s="631"/>
      <c r="AF17" s="627">
        <v>0</v>
      </c>
      <c r="AG17" s="627"/>
      <c r="AH17" s="627"/>
      <c r="AI17" s="627"/>
      <c r="AJ17" s="627"/>
      <c r="AK17" s="627"/>
      <c r="AL17" s="627"/>
    </row>
    <row r="18" spans="1:38" ht="11.1" customHeight="1" x14ac:dyDescent="0.25">
      <c r="A18" s="630" t="s">
        <v>3333</v>
      </c>
      <c r="B18" s="630"/>
      <c r="C18" s="630"/>
      <c r="M18" s="630" t="s">
        <v>292</v>
      </c>
      <c r="N18" s="630"/>
      <c r="O18" s="630"/>
      <c r="P18" s="630"/>
      <c r="Q18" s="627">
        <v>92784.76</v>
      </c>
      <c r="R18" s="627"/>
      <c r="T18" s="631">
        <v>184074.87</v>
      </c>
      <c r="U18" s="631"/>
      <c r="V18" s="631"/>
      <c r="Y18" s="631">
        <v>275036.79999999999</v>
      </c>
      <c r="Z18" s="631"/>
      <c r="AA18" s="631"/>
      <c r="AB18" s="631"/>
      <c r="AC18" s="631"/>
      <c r="AD18" s="631"/>
      <c r="AF18" s="627">
        <v>1822.83</v>
      </c>
      <c r="AG18" s="627"/>
      <c r="AH18" s="627"/>
      <c r="AI18" s="627"/>
      <c r="AJ18" s="627"/>
      <c r="AK18" s="627"/>
      <c r="AL18" s="627"/>
    </row>
    <row r="19" spans="1:38" ht="11.1" customHeight="1" x14ac:dyDescent="0.25">
      <c r="A19" s="630" t="s">
        <v>3334</v>
      </c>
      <c r="B19" s="630"/>
      <c r="C19" s="630"/>
      <c r="M19" s="630" t="s">
        <v>294</v>
      </c>
      <c r="N19" s="630"/>
      <c r="O19" s="630"/>
      <c r="P19" s="630"/>
      <c r="Q19" s="627">
        <v>16133.67</v>
      </c>
      <c r="R19" s="627"/>
      <c r="T19" s="631">
        <v>5067398.99</v>
      </c>
      <c r="U19" s="631"/>
      <c r="V19" s="631"/>
      <c r="Y19" s="631">
        <v>5072353.38</v>
      </c>
      <c r="Z19" s="631"/>
      <c r="AA19" s="631"/>
      <c r="AB19" s="631"/>
      <c r="AC19" s="631"/>
      <c r="AD19" s="631"/>
      <c r="AF19" s="627">
        <v>11179.28</v>
      </c>
      <c r="AG19" s="627"/>
      <c r="AH19" s="627"/>
      <c r="AI19" s="627"/>
      <c r="AJ19" s="627"/>
      <c r="AK19" s="627"/>
      <c r="AL19" s="627"/>
    </row>
    <row r="20" spans="1:38" ht="11.1" customHeight="1" x14ac:dyDescent="0.25">
      <c r="A20" s="630" t="s">
        <v>3335</v>
      </c>
      <c r="B20" s="630"/>
      <c r="C20" s="630"/>
      <c r="M20" s="630" t="s">
        <v>296</v>
      </c>
      <c r="N20" s="630"/>
      <c r="O20" s="630"/>
      <c r="P20" s="630"/>
      <c r="Q20" s="627">
        <v>10</v>
      </c>
      <c r="R20" s="627"/>
      <c r="T20" s="631">
        <v>22241189.52</v>
      </c>
      <c r="U20" s="631"/>
      <c r="V20" s="631"/>
      <c r="Y20" s="631">
        <v>22241189.52</v>
      </c>
      <c r="Z20" s="631"/>
      <c r="AA20" s="631"/>
      <c r="AB20" s="631"/>
      <c r="AC20" s="631"/>
      <c r="AD20" s="631"/>
      <c r="AF20" s="627">
        <v>10</v>
      </c>
      <c r="AG20" s="627"/>
      <c r="AH20" s="627"/>
      <c r="AI20" s="627"/>
      <c r="AJ20" s="627"/>
      <c r="AK20" s="627"/>
      <c r="AL20" s="627"/>
    </row>
    <row r="21" spans="1:38" ht="11.1" customHeight="1" x14ac:dyDescent="0.25">
      <c r="A21" s="630" t="s">
        <v>3336</v>
      </c>
      <c r="B21" s="630"/>
      <c r="C21" s="630"/>
      <c r="M21" s="630" t="s">
        <v>298</v>
      </c>
      <c r="N21" s="630"/>
      <c r="O21" s="630"/>
      <c r="P21" s="630"/>
      <c r="Q21" s="627">
        <v>443.81</v>
      </c>
      <c r="R21" s="627"/>
      <c r="T21" s="631">
        <v>491869.69</v>
      </c>
      <c r="U21" s="631"/>
      <c r="V21" s="631"/>
      <c r="Y21" s="631">
        <v>490012.84</v>
      </c>
      <c r="Z21" s="631"/>
      <c r="AA21" s="631"/>
      <c r="AB21" s="631"/>
      <c r="AC21" s="631"/>
      <c r="AD21" s="631"/>
      <c r="AF21" s="627">
        <v>2300.66</v>
      </c>
      <c r="AG21" s="627"/>
      <c r="AH21" s="627"/>
      <c r="AI21" s="627"/>
      <c r="AJ21" s="627"/>
      <c r="AK21" s="627"/>
      <c r="AL21" s="627"/>
    </row>
    <row r="22" spans="1:38" ht="11.1" customHeight="1" x14ac:dyDescent="0.25">
      <c r="A22" s="630" t="s">
        <v>3337</v>
      </c>
      <c r="B22" s="630"/>
      <c r="C22" s="630"/>
      <c r="M22" s="630" t="s">
        <v>2752</v>
      </c>
      <c r="N22" s="630"/>
      <c r="O22" s="630"/>
      <c r="P22" s="630"/>
      <c r="Q22" s="627">
        <v>0</v>
      </c>
      <c r="R22" s="627"/>
      <c r="T22" s="631">
        <v>942.28</v>
      </c>
      <c r="U22" s="631"/>
      <c r="V22" s="631"/>
      <c r="Y22" s="631">
        <v>560</v>
      </c>
      <c r="Z22" s="631"/>
      <c r="AA22" s="631"/>
      <c r="AB22" s="631"/>
      <c r="AC22" s="631"/>
      <c r="AD22" s="631"/>
      <c r="AF22" s="627">
        <v>382.28</v>
      </c>
      <c r="AG22" s="627"/>
      <c r="AH22" s="627"/>
      <c r="AI22" s="627"/>
      <c r="AJ22" s="627"/>
      <c r="AK22" s="627"/>
      <c r="AL22" s="627"/>
    </row>
    <row r="23" spans="1:38" ht="11.1" customHeight="1" x14ac:dyDescent="0.25">
      <c r="A23" s="630" t="s">
        <v>3338</v>
      </c>
      <c r="B23" s="630"/>
      <c r="C23" s="630"/>
      <c r="M23" s="630" t="s">
        <v>300</v>
      </c>
      <c r="N23" s="630"/>
      <c r="O23" s="630"/>
      <c r="P23" s="630"/>
      <c r="Q23" s="627">
        <v>25482.15</v>
      </c>
      <c r="R23" s="627"/>
      <c r="T23" s="631">
        <v>0</v>
      </c>
      <c r="U23" s="631"/>
      <c r="V23" s="631"/>
      <c r="Y23" s="631">
        <v>178</v>
      </c>
      <c r="Z23" s="631"/>
      <c r="AA23" s="631"/>
      <c r="AB23" s="631"/>
      <c r="AC23" s="631"/>
      <c r="AD23" s="631"/>
      <c r="AF23" s="627">
        <v>25304.15</v>
      </c>
      <c r="AG23" s="627"/>
      <c r="AH23" s="627"/>
      <c r="AI23" s="627"/>
      <c r="AJ23" s="627"/>
      <c r="AK23" s="627"/>
      <c r="AL23" s="627"/>
    </row>
    <row r="24" spans="1:38" ht="11.1" customHeight="1" x14ac:dyDescent="0.25">
      <c r="A24" s="630" t="s">
        <v>3339</v>
      </c>
      <c r="B24" s="630"/>
      <c r="C24" s="630"/>
      <c r="M24" s="630" t="s">
        <v>2407</v>
      </c>
      <c r="N24" s="630"/>
      <c r="O24" s="630"/>
      <c r="P24" s="630"/>
      <c r="Q24" s="627">
        <v>1</v>
      </c>
      <c r="R24" s="627"/>
      <c r="T24" s="631">
        <v>329901.82</v>
      </c>
      <c r="U24" s="631"/>
      <c r="V24" s="631"/>
      <c r="Y24" s="631">
        <v>329901.82</v>
      </c>
      <c r="Z24" s="631"/>
      <c r="AA24" s="631"/>
      <c r="AB24" s="631"/>
      <c r="AC24" s="631"/>
      <c r="AD24" s="631"/>
      <c r="AF24" s="627">
        <v>1</v>
      </c>
      <c r="AG24" s="627"/>
      <c r="AH24" s="627"/>
      <c r="AI24" s="627"/>
      <c r="AJ24" s="627"/>
      <c r="AK24" s="627"/>
      <c r="AL24" s="627"/>
    </row>
    <row r="25" spans="1:38" ht="11.1" customHeight="1" x14ac:dyDescent="0.25">
      <c r="A25" s="630" t="s">
        <v>3340</v>
      </c>
      <c r="B25" s="630"/>
      <c r="C25" s="630"/>
      <c r="L25" s="630" t="s">
        <v>302</v>
      </c>
      <c r="M25" s="630"/>
      <c r="N25" s="630"/>
      <c r="O25" s="630"/>
      <c r="P25" s="630"/>
      <c r="Q25" s="627">
        <v>1184.49</v>
      </c>
      <c r="R25" s="627"/>
      <c r="T25" s="631">
        <v>5509.04</v>
      </c>
      <c r="U25" s="631"/>
      <c r="V25" s="631"/>
      <c r="Y25" s="631">
        <v>0</v>
      </c>
      <c r="Z25" s="631"/>
      <c r="AA25" s="631"/>
      <c r="AB25" s="631"/>
      <c r="AC25" s="631"/>
      <c r="AD25" s="631"/>
      <c r="AF25" s="627">
        <v>6693.53</v>
      </c>
      <c r="AG25" s="627"/>
      <c r="AH25" s="627"/>
      <c r="AI25" s="627"/>
      <c r="AJ25" s="627"/>
      <c r="AK25" s="627"/>
      <c r="AL25" s="627"/>
    </row>
    <row r="26" spans="1:38" ht="11.1" customHeight="1" x14ac:dyDescent="0.25">
      <c r="A26" s="630" t="s">
        <v>3341</v>
      </c>
      <c r="B26" s="630"/>
      <c r="C26" s="630"/>
      <c r="M26" s="630" t="s">
        <v>304</v>
      </c>
      <c r="N26" s="630"/>
      <c r="O26" s="630"/>
      <c r="P26" s="630"/>
      <c r="Q26" s="627">
        <v>1184.49</v>
      </c>
      <c r="R26" s="627"/>
      <c r="T26" s="631">
        <v>5509.04</v>
      </c>
      <c r="U26" s="631"/>
      <c r="V26" s="631"/>
      <c r="Y26" s="631">
        <v>0</v>
      </c>
      <c r="Z26" s="631"/>
      <c r="AA26" s="631"/>
      <c r="AB26" s="631"/>
      <c r="AC26" s="631"/>
      <c r="AD26" s="631"/>
      <c r="AF26" s="627">
        <v>6693.53</v>
      </c>
      <c r="AG26" s="627"/>
      <c r="AH26" s="627"/>
      <c r="AI26" s="627"/>
      <c r="AJ26" s="627"/>
      <c r="AK26" s="627"/>
      <c r="AL26" s="627"/>
    </row>
    <row r="27" spans="1:38" ht="11.1" customHeight="1" x14ac:dyDescent="0.25">
      <c r="A27" s="632" t="s">
        <v>3342</v>
      </c>
      <c r="B27" s="632"/>
      <c r="C27" s="632"/>
      <c r="J27" s="632" t="s">
        <v>306</v>
      </c>
      <c r="K27" s="632"/>
      <c r="L27" s="632"/>
      <c r="M27" s="632"/>
      <c r="N27" s="632"/>
      <c r="O27" s="632"/>
      <c r="P27" s="632"/>
      <c r="Q27" s="633">
        <v>-4.62</v>
      </c>
      <c r="R27" s="633"/>
      <c r="T27" s="634">
        <v>200</v>
      </c>
      <c r="U27" s="634"/>
      <c r="V27" s="634"/>
      <c r="Y27" s="634">
        <v>0.01</v>
      </c>
      <c r="Z27" s="634"/>
      <c r="AA27" s="634"/>
      <c r="AB27" s="634"/>
      <c r="AC27" s="634"/>
      <c r="AD27" s="634"/>
      <c r="AF27" s="633">
        <v>195.37</v>
      </c>
      <c r="AG27" s="633"/>
      <c r="AH27" s="633"/>
      <c r="AI27" s="633"/>
      <c r="AJ27" s="633"/>
      <c r="AK27" s="633"/>
      <c r="AL27" s="633"/>
    </row>
    <row r="28" spans="1:38" ht="11.1" customHeight="1" x14ac:dyDescent="0.25">
      <c r="A28" s="630" t="s">
        <v>3343</v>
      </c>
      <c r="B28" s="630"/>
      <c r="C28" s="630"/>
      <c r="L28" s="630" t="s">
        <v>302</v>
      </c>
      <c r="M28" s="630"/>
      <c r="N28" s="630"/>
      <c r="O28" s="630"/>
      <c r="P28" s="630"/>
      <c r="Q28" s="627">
        <v>-4.62</v>
      </c>
      <c r="R28" s="627"/>
      <c r="T28" s="631">
        <v>200</v>
      </c>
      <c r="U28" s="631"/>
      <c r="V28" s="631"/>
      <c r="Y28" s="631">
        <v>0.01</v>
      </c>
      <c r="Z28" s="631"/>
      <c r="AA28" s="631"/>
      <c r="AB28" s="631"/>
      <c r="AC28" s="631"/>
      <c r="AD28" s="631"/>
      <c r="AF28" s="627">
        <v>195.37</v>
      </c>
      <c r="AG28" s="627"/>
      <c r="AH28" s="627"/>
      <c r="AI28" s="627"/>
      <c r="AJ28" s="627"/>
      <c r="AK28" s="627"/>
      <c r="AL28" s="627"/>
    </row>
    <row r="29" spans="1:38" ht="11.1" customHeight="1" x14ac:dyDescent="0.25">
      <c r="A29" s="630" t="s">
        <v>3344</v>
      </c>
      <c r="B29" s="630"/>
      <c r="C29" s="630"/>
      <c r="M29" s="630" t="s">
        <v>306</v>
      </c>
      <c r="N29" s="630"/>
      <c r="O29" s="630"/>
      <c r="P29" s="630"/>
      <c r="Q29" s="627">
        <v>-4.62</v>
      </c>
      <c r="R29" s="627"/>
      <c r="T29" s="631">
        <v>200</v>
      </c>
      <c r="U29" s="631"/>
      <c r="V29" s="631"/>
      <c r="Y29" s="631">
        <v>0.01</v>
      </c>
      <c r="Z29" s="631"/>
      <c r="AA29" s="631"/>
      <c r="AB29" s="631"/>
      <c r="AC29" s="631"/>
      <c r="AD29" s="631"/>
      <c r="AF29" s="627">
        <v>195.37</v>
      </c>
      <c r="AG29" s="627"/>
      <c r="AH29" s="627"/>
      <c r="AI29" s="627"/>
      <c r="AJ29" s="627"/>
      <c r="AK29" s="627"/>
      <c r="AL29" s="627"/>
    </row>
    <row r="30" spans="1:38" ht="11.1" customHeight="1" x14ac:dyDescent="0.25">
      <c r="A30" s="632" t="s">
        <v>3345</v>
      </c>
      <c r="B30" s="632"/>
      <c r="C30" s="632"/>
      <c r="I30" s="632" t="s">
        <v>310</v>
      </c>
      <c r="J30" s="632"/>
      <c r="K30" s="632"/>
      <c r="L30" s="632"/>
      <c r="M30" s="632"/>
      <c r="N30" s="632"/>
      <c r="O30" s="632"/>
      <c r="P30" s="632"/>
      <c r="Q30" s="633">
        <v>224753456.44</v>
      </c>
      <c r="R30" s="633"/>
      <c r="T30" s="634">
        <v>18752882.530000001</v>
      </c>
      <c r="U30" s="634"/>
      <c r="V30" s="634"/>
      <c r="Y30" s="634">
        <v>11786309.050000001</v>
      </c>
      <c r="Z30" s="634"/>
      <c r="AA30" s="634"/>
      <c r="AB30" s="634"/>
      <c r="AC30" s="634"/>
      <c r="AD30" s="634"/>
      <c r="AF30" s="633">
        <v>231720029.91999999</v>
      </c>
      <c r="AG30" s="633"/>
      <c r="AH30" s="633"/>
      <c r="AI30" s="633"/>
      <c r="AJ30" s="633"/>
      <c r="AK30" s="633"/>
      <c r="AL30" s="633"/>
    </row>
    <row r="31" spans="1:38" ht="11.1" customHeight="1" x14ac:dyDescent="0.25">
      <c r="A31" s="632" t="s">
        <v>3346</v>
      </c>
      <c r="B31" s="632"/>
      <c r="C31" s="632"/>
      <c r="J31" s="632" t="s">
        <v>312</v>
      </c>
      <c r="K31" s="632"/>
      <c r="L31" s="632"/>
      <c r="M31" s="632"/>
      <c r="N31" s="632"/>
      <c r="O31" s="632"/>
      <c r="P31" s="632"/>
      <c r="Q31" s="633">
        <v>224753456.44</v>
      </c>
      <c r="R31" s="633"/>
      <c r="T31" s="634">
        <v>18752882.530000001</v>
      </c>
      <c r="U31" s="634"/>
      <c r="V31" s="634"/>
      <c r="Y31" s="634">
        <v>11786309.050000001</v>
      </c>
      <c r="Z31" s="634"/>
      <c r="AA31" s="634"/>
      <c r="AB31" s="634"/>
      <c r="AC31" s="634"/>
      <c r="AD31" s="634"/>
      <c r="AF31" s="633">
        <v>231720029.91999999</v>
      </c>
      <c r="AG31" s="633"/>
      <c r="AH31" s="633"/>
      <c r="AI31" s="633"/>
      <c r="AJ31" s="633"/>
      <c r="AK31" s="633"/>
      <c r="AL31" s="633"/>
    </row>
    <row r="32" spans="1:38" ht="11.1" customHeight="1" x14ac:dyDescent="0.25">
      <c r="A32" s="630" t="s">
        <v>3347</v>
      </c>
      <c r="B32" s="630"/>
      <c r="C32" s="630"/>
      <c r="K32" s="630" t="s">
        <v>312</v>
      </c>
      <c r="L32" s="630"/>
      <c r="M32" s="630"/>
      <c r="N32" s="630"/>
      <c r="O32" s="630"/>
      <c r="P32" s="630"/>
      <c r="Q32" s="627">
        <v>224753456.44</v>
      </c>
      <c r="R32" s="627"/>
      <c r="T32" s="631">
        <v>18752882.530000001</v>
      </c>
      <c r="U32" s="631"/>
      <c r="V32" s="631"/>
      <c r="Y32" s="631">
        <v>11786309.050000001</v>
      </c>
      <c r="Z32" s="631"/>
      <c r="AA32" s="631"/>
      <c r="AB32" s="631"/>
      <c r="AC32" s="631"/>
      <c r="AD32" s="631"/>
      <c r="AF32" s="627">
        <v>231720029.91999999</v>
      </c>
      <c r="AG32" s="627"/>
      <c r="AH32" s="627"/>
      <c r="AI32" s="627"/>
      <c r="AJ32" s="627"/>
      <c r="AK32" s="627"/>
      <c r="AL32" s="627"/>
    </row>
    <row r="33" spans="1:38" ht="11.1" customHeight="1" x14ac:dyDescent="0.25">
      <c r="A33" s="630" t="s">
        <v>3348</v>
      </c>
      <c r="B33" s="630"/>
      <c r="C33" s="630"/>
      <c r="L33" s="630" t="s">
        <v>312</v>
      </c>
      <c r="M33" s="630"/>
      <c r="N33" s="630"/>
      <c r="O33" s="630"/>
      <c r="P33" s="630"/>
      <c r="Q33" s="627">
        <v>224531313.31</v>
      </c>
      <c r="R33" s="627"/>
      <c r="T33" s="631">
        <v>18752882.530000001</v>
      </c>
      <c r="U33" s="631"/>
      <c r="V33" s="631"/>
      <c r="Y33" s="631">
        <v>11741826.130000001</v>
      </c>
      <c r="Z33" s="631"/>
      <c r="AA33" s="631"/>
      <c r="AB33" s="631"/>
      <c r="AC33" s="631"/>
      <c r="AD33" s="631"/>
      <c r="AF33" s="627">
        <v>231542369.71000001</v>
      </c>
      <c r="AG33" s="627"/>
      <c r="AH33" s="627"/>
      <c r="AI33" s="627"/>
      <c r="AJ33" s="627"/>
      <c r="AK33" s="627"/>
      <c r="AL33" s="627"/>
    </row>
    <row r="34" spans="1:38" ht="11.1" customHeight="1" x14ac:dyDescent="0.25">
      <c r="A34" s="630" t="s">
        <v>3349</v>
      </c>
      <c r="B34" s="630"/>
      <c r="C34" s="630"/>
      <c r="M34" s="630" t="s">
        <v>316</v>
      </c>
      <c r="N34" s="630"/>
      <c r="O34" s="630"/>
      <c r="P34" s="630"/>
      <c r="Q34" s="627">
        <v>6712274.0300000003</v>
      </c>
      <c r="R34" s="627"/>
      <c r="T34" s="631">
        <v>231426.36</v>
      </c>
      <c r="U34" s="631"/>
      <c r="V34" s="631"/>
      <c r="Y34" s="631">
        <v>1860.38</v>
      </c>
      <c r="Z34" s="631"/>
      <c r="AA34" s="631"/>
      <c r="AB34" s="631"/>
      <c r="AC34" s="631"/>
      <c r="AD34" s="631"/>
      <c r="AF34" s="627">
        <v>6941840.0099999998</v>
      </c>
      <c r="AG34" s="627"/>
      <c r="AH34" s="627"/>
      <c r="AI34" s="627"/>
      <c r="AJ34" s="627"/>
      <c r="AK34" s="627"/>
      <c r="AL34" s="627"/>
    </row>
    <row r="35" spans="1:38" ht="11.1" customHeight="1" x14ac:dyDescent="0.25">
      <c r="A35" s="630" t="s">
        <v>3350</v>
      </c>
      <c r="B35" s="630"/>
      <c r="C35" s="630"/>
      <c r="M35" s="630" t="s">
        <v>318</v>
      </c>
      <c r="N35" s="630"/>
      <c r="O35" s="630"/>
      <c r="P35" s="630"/>
      <c r="Q35" s="627">
        <v>140172387.36000001</v>
      </c>
      <c r="R35" s="627"/>
      <c r="T35" s="631">
        <v>3073440.1</v>
      </c>
      <c r="U35" s="631"/>
      <c r="V35" s="631"/>
      <c r="Y35" s="631">
        <v>1051125.8600000001</v>
      </c>
      <c r="Z35" s="631"/>
      <c r="AA35" s="631"/>
      <c r="AB35" s="631"/>
      <c r="AC35" s="631"/>
      <c r="AD35" s="631"/>
      <c r="AF35" s="627">
        <v>142194701.59999999</v>
      </c>
      <c r="AG35" s="627"/>
      <c r="AH35" s="627"/>
      <c r="AI35" s="627"/>
      <c r="AJ35" s="627"/>
      <c r="AK35" s="627"/>
      <c r="AL35" s="627"/>
    </row>
    <row r="36" spans="1:38" ht="11.1" customHeight="1" x14ac:dyDescent="0.25">
      <c r="A36" s="630" t="s">
        <v>3351</v>
      </c>
      <c r="B36" s="630"/>
      <c r="C36" s="630"/>
      <c r="M36" s="630" t="s">
        <v>320</v>
      </c>
      <c r="N36" s="630"/>
      <c r="O36" s="630"/>
      <c r="P36" s="630"/>
      <c r="Q36" s="627">
        <v>33262.04</v>
      </c>
      <c r="R36" s="627"/>
      <c r="T36" s="631">
        <v>57.19</v>
      </c>
      <c r="U36" s="631"/>
      <c r="V36" s="631"/>
      <c r="Y36" s="631">
        <v>8.9</v>
      </c>
      <c r="Z36" s="631"/>
      <c r="AA36" s="631"/>
      <c r="AB36" s="631"/>
      <c r="AC36" s="631"/>
      <c r="AD36" s="631"/>
      <c r="AF36" s="627">
        <v>33310.33</v>
      </c>
      <c r="AG36" s="627"/>
      <c r="AH36" s="627"/>
      <c r="AI36" s="627"/>
      <c r="AJ36" s="627"/>
      <c r="AK36" s="627"/>
      <c r="AL36" s="627"/>
    </row>
    <row r="37" spans="1:38" ht="11.1" customHeight="1" x14ac:dyDescent="0.25">
      <c r="A37" s="630" t="s">
        <v>3352</v>
      </c>
      <c r="B37" s="630"/>
      <c r="C37" s="630"/>
      <c r="M37" s="630" t="s">
        <v>322</v>
      </c>
      <c r="N37" s="630"/>
      <c r="O37" s="630"/>
      <c r="P37" s="630"/>
      <c r="Q37" s="627">
        <v>2493090.62</v>
      </c>
      <c r="R37" s="627"/>
      <c r="T37" s="631">
        <v>7663222.6399999997</v>
      </c>
      <c r="U37" s="631"/>
      <c r="V37" s="631"/>
      <c r="Y37" s="631">
        <v>10043205.890000001</v>
      </c>
      <c r="Z37" s="631"/>
      <c r="AA37" s="631"/>
      <c r="AB37" s="631"/>
      <c r="AC37" s="631"/>
      <c r="AD37" s="631"/>
      <c r="AF37" s="627">
        <v>113107.37</v>
      </c>
      <c r="AG37" s="627"/>
      <c r="AH37" s="627"/>
      <c r="AI37" s="627"/>
      <c r="AJ37" s="627"/>
      <c r="AK37" s="627"/>
      <c r="AL37" s="627"/>
    </row>
    <row r="38" spans="1:38" ht="11.1" customHeight="1" x14ac:dyDescent="0.25">
      <c r="A38" s="630" t="s">
        <v>3353</v>
      </c>
      <c r="B38" s="630"/>
      <c r="C38" s="630"/>
      <c r="M38" s="630" t="s">
        <v>324</v>
      </c>
      <c r="N38" s="630"/>
      <c r="O38" s="630"/>
      <c r="P38" s="630"/>
      <c r="Q38" s="627">
        <v>13908843.189999999</v>
      </c>
      <c r="R38" s="627"/>
      <c r="T38" s="631">
        <v>6871545.9199999999</v>
      </c>
      <c r="U38" s="631"/>
      <c r="V38" s="631"/>
      <c r="Y38" s="631">
        <v>506094.05</v>
      </c>
      <c r="Z38" s="631"/>
      <c r="AA38" s="631"/>
      <c r="AB38" s="631"/>
      <c r="AC38" s="631"/>
      <c r="AD38" s="631"/>
      <c r="AF38" s="627">
        <v>20274295.059999999</v>
      </c>
      <c r="AG38" s="627"/>
      <c r="AH38" s="627"/>
      <c r="AI38" s="627"/>
      <c r="AJ38" s="627"/>
      <c r="AK38" s="627"/>
      <c r="AL38" s="627"/>
    </row>
    <row r="39" spans="1:38" ht="11.1" customHeight="1" x14ac:dyDescent="0.25">
      <c r="A39" s="630" t="s">
        <v>3354</v>
      </c>
      <c r="B39" s="630"/>
      <c r="C39" s="630"/>
      <c r="M39" s="630" t="s">
        <v>2409</v>
      </c>
      <c r="N39" s="630"/>
      <c r="O39" s="630"/>
      <c r="P39" s="630"/>
      <c r="Q39" s="627">
        <v>31812306.789999999</v>
      </c>
      <c r="R39" s="627"/>
      <c r="T39" s="631">
        <v>53135.74</v>
      </c>
      <c r="U39" s="631"/>
      <c r="V39" s="631"/>
      <c r="Y39" s="631">
        <v>120478.14</v>
      </c>
      <c r="Z39" s="631"/>
      <c r="AA39" s="631"/>
      <c r="AB39" s="631"/>
      <c r="AC39" s="631"/>
      <c r="AD39" s="631"/>
      <c r="AF39" s="627">
        <v>31744964.390000001</v>
      </c>
      <c r="AG39" s="627"/>
      <c r="AH39" s="627"/>
      <c r="AI39" s="627"/>
      <c r="AJ39" s="627"/>
      <c r="AK39" s="627"/>
      <c r="AL39" s="627"/>
    </row>
    <row r="40" spans="1:38" ht="11.1" customHeight="1" x14ac:dyDescent="0.25">
      <c r="A40" s="630" t="s">
        <v>3355</v>
      </c>
      <c r="B40" s="630"/>
      <c r="C40" s="630"/>
      <c r="M40" s="630" t="s">
        <v>2754</v>
      </c>
      <c r="N40" s="630"/>
      <c r="O40" s="630"/>
      <c r="P40" s="630"/>
      <c r="Q40" s="627">
        <v>29399149.280000001</v>
      </c>
      <c r="R40" s="627"/>
      <c r="T40" s="631">
        <v>94999.94</v>
      </c>
      <c r="U40" s="631"/>
      <c r="V40" s="631"/>
      <c r="Y40" s="631">
        <v>18999.990000000002</v>
      </c>
      <c r="Z40" s="631"/>
      <c r="AA40" s="631"/>
      <c r="AB40" s="631"/>
      <c r="AC40" s="631"/>
      <c r="AD40" s="631"/>
      <c r="AF40" s="627">
        <v>29475149.23</v>
      </c>
      <c r="AG40" s="627"/>
      <c r="AH40" s="627"/>
      <c r="AI40" s="627"/>
      <c r="AJ40" s="627"/>
      <c r="AK40" s="627"/>
      <c r="AL40" s="627"/>
    </row>
    <row r="41" spans="1:38" ht="11.1" customHeight="1" x14ac:dyDescent="0.25">
      <c r="A41" s="630" t="s">
        <v>3356</v>
      </c>
      <c r="B41" s="630"/>
      <c r="C41" s="630"/>
      <c r="M41" s="630" t="s">
        <v>2756</v>
      </c>
      <c r="N41" s="630"/>
      <c r="O41" s="630"/>
      <c r="P41" s="630"/>
      <c r="Q41" s="627">
        <v>0</v>
      </c>
      <c r="R41" s="627"/>
      <c r="T41" s="631">
        <v>275019.51</v>
      </c>
      <c r="U41" s="631"/>
      <c r="V41" s="631"/>
      <c r="Y41" s="631">
        <v>18.89</v>
      </c>
      <c r="Z41" s="631"/>
      <c r="AA41" s="631"/>
      <c r="AB41" s="631"/>
      <c r="AC41" s="631"/>
      <c r="AD41" s="631"/>
      <c r="AF41" s="627">
        <v>275000.62</v>
      </c>
      <c r="AG41" s="627"/>
      <c r="AH41" s="627"/>
      <c r="AI41" s="627"/>
      <c r="AJ41" s="627"/>
      <c r="AK41" s="627"/>
      <c r="AL41" s="627"/>
    </row>
    <row r="42" spans="1:38" ht="11.1" customHeight="1" x14ac:dyDescent="0.25">
      <c r="A42" s="630" t="s">
        <v>3357</v>
      </c>
      <c r="B42" s="630"/>
      <c r="C42" s="630"/>
      <c r="M42" s="630" t="s">
        <v>2758</v>
      </c>
      <c r="N42" s="630"/>
      <c r="O42" s="630"/>
      <c r="P42" s="630"/>
      <c r="Q42" s="627">
        <v>0</v>
      </c>
      <c r="R42" s="627"/>
      <c r="T42" s="631">
        <v>490035.13</v>
      </c>
      <c r="U42" s="631"/>
      <c r="V42" s="631"/>
      <c r="Y42" s="631">
        <v>34.03</v>
      </c>
      <c r="Z42" s="631"/>
      <c r="AA42" s="631"/>
      <c r="AB42" s="631"/>
      <c r="AC42" s="631"/>
      <c r="AD42" s="631"/>
      <c r="AF42" s="627">
        <v>490001.1</v>
      </c>
      <c r="AG42" s="627"/>
      <c r="AH42" s="627"/>
      <c r="AI42" s="627"/>
      <c r="AJ42" s="627"/>
      <c r="AK42" s="627"/>
      <c r="AL42" s="627"/>
    </row>
    <row r="43" spans="1:38" ht="11.1" customHeight="1" x14ac:dyDescent="0.25">
      <c r="A43" s="630" t="s">
        <v>3358</v>
      </c>
      <c r="B43" s="630"/>
      <c r="C43" s="630"/>
      <c r="L43" s="630" t="s">
        <v>302</v>
      </c>
      <c r="M43" s="630"/>
      <c r="N43" s="630"/>
      <c r="O43" s="630"/>
      <c r="P43" s="630"/>
      <c r="Q43" s="627">
        <v>222143.13</v>
      </c>
      <c r="R43" s="627"/>
      <c r="T43" s="631">
        <v>0</v>
      </c>
      <c r="U43" s="631"/>
      <c r="V43" s="631"/>
      <c r="Y43" s="631">
        <v>44482.92</v>
      </c>
      <c r="Z43" s="631"/>
      <c r="AA43" s="631"/>
      <c r="AB43" s="631"/>
      <c r="AC43" s="631"/>
      <c r="AD43" s="631"/>
      <c r="AF43" s="627">
        <v>177660.21</v>
      </c>
      <c r="AG43" s="627"/>
      <c r="AH43" s="627"/>
      <c r="AI43" s="627"/>
      <c r="AJ43" s="627"/>
      <c r="AK43" s="627"/>
      <c r="AL43" s="627"/>
    </row>
    <row r="44" spans="1:38" ht="11.1" customHeight="1" x14ac:dyDescent="0.25">
      <c r="A44" s="630" t="s">
        <v>3359</v>
      </c>
      <c r="B44" s="630"/>
      <c r="C44" s="630"/>
      <c r="M44" s="630" t="s">
        <v>327</v>
      </c>
      <c r="N44" s="630"/>
      <c r="O44" s="630"/>
      <c r="P44" s="630"/>
      <c r="Q44" s="627">
        <v>222143.13</v>
      </c>
      <c r="R44" s="627"/>
      <c r="T44" s="631">
        <v>0</v>
      </c>
      <c r="U44" s="631"/>
      <c r="V44" s="631"/>
      <c r="Y44" s="631">
        <v>44482.92</v>
      </c>
      <c r="Z44" s="631"/>
      <c r="AA44" s="631"/>
      <c r="AB44" s="631"/>
      <c r="AC44" s="631"/>
      <c r="AD44" s="631"/>
      <c r="AF44" s="627">
        <v>177660.21</v>
      </c>
      <c r="AG44" s="627"/>
      <c r="AH44" s="627"/>
      <c r="AI44" s="627"/>
      <c r="AJ44" s="627"/>
      <c r="AK44" s="627"/>
      <c r="AL44" s="627"/>
    </row>
    <row r="45" spans="1:38" ht="11.1" customHeight="1" x14ac:dyDescent="0.25">
      <c r="A45" s="632" t="s">
        <v>3360</v>
      </c>
      <c r="B45" s="632"/>
      <c r="C45" s="632"/>
      <c r="H45" s="632" t="s">
        <v>329</v>
      </c>
      <c r="I45" s="632"/>
      <c r="J45" s="632"/>
      <c r="K45" s="632"/>
      <c r="L45" s="632"/>
      <c r="M45" s="632"/>
      <c r="N45" s="632"/>
      <c r="O45" s="632"/>
      <c r="P45" s="632"/>
      <c r="Q45" s="633">
        <v>0</v>
      </c>
      <c r="R45" s="633"/>
      <c r="T45" s="634">
        <v>13463.72</v>
      </c>
      <c r="U45" s="634"/>
      <c r="V45" s="634"/>
      <c r="Y45" s="634">
        <v>13444.97</v>
      </c>
      <c r="Z45" s="634"/>
      <c r="AA45" s="634"/>
      <c r="AB45" s="634"/>
      <c r="AC45" s="634"/>
      <c r="AD45" s="634"/>
      <c r="AF45" s="633">
        <v>18.75</v>
      </c>
      <c r="AG45" s="633"/>
      <c r="AH45" s="633"/>
      <c r="AI45" s="633"/>
      <c r="AJ45" s="633"/>
      <c r="AK45" s="633"/>
      <c r="AL45" s="633"/>
    </row>
    <row r="46" spans="1:38" ht="11.1" customHeight="1" x14ac:dyDescent="0.25">
      <c r="A46" s="632" t="s">
        <v>3361</v>
      </c>
      <c r="B46" s="632"/>
      <c r="C46" s="632"/>
      <c r="I46" s="632" t="s">
        <v>331</v>
      </c>
      <c r="J46" s="632"/>
      <c r="K46" s="632"/>
      <c r="L46" s="632"/>
      <c r="M46" s="632"/>
      <c r="N46" s="632"/>
      <c r="O46" s="632"/>
      <c r="P46" s="632"/>
      <c r="Q46" s="633">
        <v>0</v>
      </c>
      <c r="R46" s="633"/>
      <c r="T46" s="634">
        <v>13463.72</v>
      </c>
      <c r="U46" s="634"/>
      <c r="V46" s="634"/>
      <c r="Y46" s="634">
        <v>13444.97</v>
      </c>
      <c r="Z46" s="634"/>
      <c r="AA46" s="634"/>
      <c r="AB46" s="634"/>
      <c r="AC46" s="634"/>
      <c r="AD46" s="634"/>
      <c r="AF46" s="633">
        <v>18.75</v>
      </c>
      <c r="AG46" s="633"/>
      <c r="AH46" s="633"/>
      <c r="AI46" s="633"/>
      <c r="AJ46" s="633"/>
      <c r="AK46" s="633"/>
      <c r="AL46" s="633"/>
    </row>
    <row r="47" spans="1:38" ht="11.1" customHeight="1" x14ac:dyDescent="0.25">
      <c r="A47" s="632" t="s">
        <v>3362</v>
      </c>
      <c r="B47" s="632"/>
      <c r="C47" s="632"/>
      <c r="J47" s="632" t="s">
        <v>331</v>
      </c>
      <c r="K47" s="632"/>
      <c r="L47" s="632"/>
      <c r="M47" s="632"/>
      <c r="N47" s="632"/>
      <c r="O47" s="632"/>
      <c r="P47" s="632"/>
      <c r="Q47" s="633">
        <v>0</v>
      </c>
      <c r="R47" s="633"/>
      <c r="T47" s="634">
        <v>13463.72</v>
      </c>
      <c r="U47" s="634"/>
      <c r="V47" s="634"/>
      <c r="Y47" s="634">
        <v>13444.97</v>
      </c>
      <c r="Z47" s="634"/>
      <c r="AA47" s="634"/>
      <c r="AB47" s="634"/>
      <c r="AC47" s="634"/>
      <c r="AD47" s="634"/>
      <c r="AF47" s="633">
        <v>18.75</v>
      </c>
      <c r="AG47" s="633"/>
      <c r="AH47" s="633"/>
      <c r="AI47" s="633"/>
      <c r="AJ47" s="633"/>
      <c r="AK47" s="633"/>
      <c r="AL47" s="633"/>
    </row>
    <row r="48" spans="1:38" ht="11.1" customHeight="1" x14ac:dyDescent="0.25">
      <c r="A48" s="630" t="s">
        <v>3363</v>
      </c>
      <c r="B48" s="630"/>
      <c r="C48" s="630"/>
      <c r="K48" s="630" t="s">
        <v>331</v>
      </c>
      <c r="L48" s="630"/>
      <c r="M48" s="630"/>
      <c r="N48" s="630"/>
      <c r="O48" s="630"/>
      <c r="P48" s="630"/>
      <c r="Q48" s="627">
        <v>0</v>
      </c>
      <c r="R48" s="627"/>
      <c r="T48" s="631">
        <v>13463.72</v>
      </c>
      <c r="U48" s="631"/>
      <c r="V48" s="631"/>
      <c r="Y48" s="631">
        <v>13444.97</v>
      </c>
      <c r="Z48" s="631"/>
      <c r="AA48" s="631"/>
      <c r="AB48" s="631"/>
      <c r="AC48" s="631"/>
      <c r="AD48" s="631"/>
      <c r="AF48" s="627">
        <v>18.75</v>
      </c>
      <c r="AG48" s="627"/>
      <c r="AH48" s="627"/>
      <c r="AI48" s="627"/>
      <c r="AJ48" s="627"/>
      <c r="AK48" s="627"/>
      <c r="AL48" s="627"/>
    </row>
    <row r="49" spans="1:38" ht="11.1" customHeight="1" x14ac:dyDescent="0.25">
      <c r="A49" s="630" t="s">
        <v>3364</v>
      </c>
      <c r="B49" s="630"/>
      <c r="C49" s="630"/>
      <c r="L49" s="630" t="s">
        <v>335</v>
      </c>
      <c r="M49" s="630"/>
      <c r="N49" s="630"/>
      <c r="O49" s="630"/>
      <c r="P49" s="630"/>
      <c r="Q49" s="627">
        <v>0</v>
      </c>
      <c r="R49" s="627"/>
      <c r="T49" s="631">
        <v>13463.72</v>
      </c>
      <c r="U49" s="631"/>
      <c r="V49" s="631"/>
      <c r="Y49" s="631">
        <v>13444.97</v>
      </c>
      <c r="Z49" s="631"/>
      <c r="AA49" s="631"/>
      <c r="AB49" s="631"/>
      <c r="AC49" s="631"/>
      <c r="AD49" s="631"/>
      <c r="AF49" s="627">
        <v>18.75</v>
      </c>
      <c r="AG49" s="627"/>
      <c r="AH49" s="627"/>
      <c r="AI49" s="627"/>
      <c r="AJ49" s="627"/>
      <c r="AK49" s="627"/>
      <c r="AL49" s="627"/>
    </row>
    <row r="50" spans="1:38" ht="11.1" customHeight="1" x14ac:dyDescent="0.25">
      <c r="A50" s="630" t="s">
        <v>3365</v>
      </c>
      <c r="B50" s="630"/>
      <c r="C50" s="630"/>
      <c r="M50" s="630" t="s">
        <v>2260</v>
      </c>
      <c r="N50" s="630"/>
      <c r="O50" s="630"/>
      <c r="P50" s="630"/>
      <c r="Q50" s="627">
        <v>0</v>
      </c>
      <c r="R50" s="627"/>
      <c r="T50" s="631">
        <v>3677.57</v>
      </c>
      <c r="U50" s="631"/>
      <c r="V50" s="631"/>
      <c r="Y50" s="631">
        <v>3677.57</v>
      </c>
      <c r="Z50" s="631"/>
      <c r="AA50" s="631"/>
      <c r="AB50" s="631"/>
      <c r="AC50" s="631"/>
      <c r="AD50" s="631"/>
      <c r="AF50" s="627">
        <v>0</v>
      </c>
      <c r="AG50" s="627"/>
      <c r="AH50" s="627"/>
      <c r="AI50" s="627"/>
      <c r="AJ50" s="627"/>
      <c r="AK50" s="627"/>
      <c r="AL50" s="627"/>
    </row>
    <row r="51" spans="1:38" ht="11.1" customHeight="1" x14ac:dyDescent="0.25">
      <c r="A51" s="630" t="s">
        <v>3366</v>
      </c>
      <c r="B51" s="630"/>
      <c r="C51" s="630"/>
      <c r="M51" s="630" t="s">
        <v>2411</v>
      </c>
      <c r="N51" s="630"/>
      <c r="O51" s="630"/>
      <c r="P51" s="630"/>
      <c r="Q51" s="627">
        <v>0</v>
      </c>
      <c r="R51" s="627"/>
      <c r="T51" s="631">
        <v>18.75</v>
      </c>
      <c r="U51" s="631"/>
      <c r="V51" s="631"/>
      <c r="Y51" s="631">
        <v>0</v>
      </c>
      <c r="Z51" s="631"/>
      <c r="AA51" s="631"/>
      <c r="AB51" s="631"/>
      <c r="AC51" s="631"/>
      <c r="AD51" s="631"/>
      <c r="AF51" s="627">
        <v>18.75</v>
      </c>
      <c r="AG51" s="627"/>
      <c r="AH51" s="627"/>
      <c r="AI51" s="627"/>
      <c r="AJ51" s="627"/>
      <c r="AK51" s="627"/>
      <c r="AL51" s="627"/>
    </row>
    <row r="52" spans="1:38" ht="11.1" customHeight="1" x14ac:dyDescent="0.25">
      <c r="A52" s="630" t="s">
        <v>3367</v>
      </c>
      <c r="B52" s="630"/>
      <c r="C52" s="630"/>
      <c r="M52" s="630" t="s">
        <v>2760</v>
      </c>
      <c r="N52" s="630"/>
      <c r="O52" s="630"/>
      <c r="P52" s="630"/>
      <c r="Q52" s="627">
        <v>0</v>
      </c>
      <c r="R52" s="627"/>
      <c r="T52" s="631">
        <v>3441.75</v>
      </c>
      <c r="U52" s="631"/>
      <c r="V52" s="631"/>
      <c r="Y52" s="631">
        <v>3441.75</v>
      </c>
      <c r="Z52" s="631"/>
      <c r="AA52" s="631"/>
      <c r="AB52" s="631"/>
      <c r="AC52" s="631"/>
      <c r="AD52" s="631"/>
      <c r="AF52" s="627">
        <v>0</v>
      </c>
      <c r="AG52" s="627"/>
      <c r="AH52" s="627"/>
      <c r="AI52" s="627"/>
      <c r="AJ52" s="627"/>
      <c r="AK52" s="627"/>
      <c r="AL52" s="627"/>
    </row>
    <row r="53" spans="1:38" ht="11.1" customHeight="1" x14ac:dyDescent="0.25">
      <c r="A53" s="630" t="s">
        <v>3368</v>
      </c>
      <c r="B53" s="630"/>
      <c r="C53" s="630"/>
      <c r="M53" s="630" t="s">
        <v>2762</v>
      </c>
      <c r="N53" s="630"/>
      <c r="O53" s="630"/>
      <c r="P53" s="630"/>
      <c r="Q53" s="627">
        <v>0</v>
      </c>
      <c r="R53" s="627"/>
      <c r="T53" s="631">
        <v>3660.15</v>
      </c>
      <c r="U53" s="631"/>
      <c r="V53" s="631"/>
      <c r="Y53" s="631">
        <v>3660.15</v>
      </c>
      <c r="Z53" s="631"/>
      <c r="AA53" s="631"/>
      <c r="AB53" s="631"/>
      <c r="AC53" s="631"/>
      <c r="AD53" s="631"/>
      <c r="AF53" s="627">
        <v>0</v>
      </c>
      <c r="AG53" s="627"/>
      <c r="AH53" s="627"/>
      <c r="AI53" s="627"/>
      <c r="AJ53" s="627"/>
      <c r="AK53" s="627"/>
      <c r="AL53" s="627"/>
    </row>
    <row r="54" spans="1:38" ht="11.1" customHeight="1" x14ac:dyDescent="0.25">
      <c r="A54" s="630" t="s">
        <v>3369</v>
      </c>
      <c r="B54" s="630"/>
      <c r="C54" s="630"/>
      <c r="M54" s="630" t="s">
        <v>2764</v>
      </c>
      <c r="N54" s="630"/>
      <c r="O54" s="630"/>
      <c r="P54" s="630"/>
      <c r="Q54" s="627">
        <v>0</v>
      </c>
      <c r="R54" s="627"/>
      <c r="T54" s="631">
        <v>2665.5</v>
      </c>
      <c r="U54" s="631"/>
      <c r="V54" s="631"/>
      <c r="Y54" s="631">
        <v>2665.5</v>
      </c>
      <c r="Z54" s="631"/>
      <c r="AA54" s="631"/>
      <c r="AB54" s="631"/>
      <c r="AC54" s="631"/>
      <c r="AD54" s="631"/>
      <c r="AF54" s="627">
        <v>0</v>
      </c>
      <c r="AG54" s="627"/>
      <c r="AH54" s="627"/>
      <c r="AI54" s="627"/>
      <c r="AJ54" s="627"/>
      <c r="AK54" s="627"/>
      <c r="AL54" s="627"/>
    </row>
    <row r="55" spans="1:38" ht="11.1" customHeight="1" x14ac:dyDescent="0.25">
      <c r="A55" s="632" t="s">
        <v>3370</v>
      </c>
      <c r="B55" s="632"/>
      <c r="C55" s="632"/>
      <c r="H55" s="632" t="s">
        <v>338</v>
      </c>
      <c r="I55" s="632"/>
      <c r="J55" s="632"/>
      <c r="K55" s="632"/>
      <c r="L55" s="632"/>
      <c r="M55" s="632"/>
      <c r="N55" s="632"/>
      <c r="O55" s="632"/>
      <c r="P55" s="632"/>
      <c r="Q55" s="633">
        <v>17465966.460000001</v>
      </c>
      <c r="R55" s="633"/>
      <c r="T55" s="634">
        <v>18996411.809999999</v>
      </c>
      <c r="U55" s="634"/>
      <c r="V55" s="634"/>
      <c r="Y55" s="634">
        <v>19697894.859999999</v>
      </c>
      <c r="Z55" s="634"/>
      <c r="AA55" s="634"/>
      <c r="AB55" s="634"/>
      <c r="AC55" s="634"/>
      <c r="AD55" s="634"/>
      <c r="AF55" s="633">
        <v>16764483.41</v>
      </c>
      <c r="AG55" s="633"/>
      <c r="AH55" s="633"/>
      <c r="AI55" s="633"/>
      <c r="AJ55" s="633"/>
      <c r="AK55" s="633"/>
      <c r="AL55" s="633"/>
    </row>
    <row r="56" spans="1:38" ht="11.1" customHeight="1" x14ac:dyDescent="0.25">
      <c r="A56" s="632" t="s">
        <v>3371</v>
      </c>
      <c r="B56" s="632"/>
      <c r="C56" s="632"/>
      <c r="I56" s="632" t="s">
        <v>340</v>
      </c>
      <c r="J56" s="632"/>
      <c r="K56" s="632"/>
      <c r="L56" s="632"/>
      <c r="M56" s="632"/>
      <c r="N56" s="632"/>
      <c r="O56" s="632"/>
      <c r="P56" s="632"/>
      <c r="Q56" s="633">
        <v>9628224.6400000006</v>
      </c>
      <c r="R56" s="633"/>
      <c r="T56" s="634">
        <v>7993533.6900000004</v>
      </c>
      <c r="U56" s="634"/>
      <c r="V56" s="634"/>
      <c r="Y56" s="634">
        <v>8083085.5800000001</v>
      </c>
      <c r="Z56" s="634"/>
      <c r="AA56" s="634"/>
      <c r="AB56" s="634"/>
      <c r="AC56" s="634"/>
      <c r="AD56" s="634"/>
      <c r="AF56" s="633">
        <v>9538672.75</v>
      </c>
      <c r="AG56" s="633"/>
      <c r="AH56" s="633"/>
      <c r="AI56" s="633"/>
      <c r="AJ56" s="633"/>
      <c r="AK56" s="633"/>
      <c r="AL56" s="633"/>
    </row>
    <row r="57" spans="1:38" ht="11.1" customHeight="1" x14ac:dyDescent="0.25">
      <c r="A57" s="632" t="s">
        <v>3372</v>
      </c>
      <c r="B57" s="632"/>
      <c r="C57" s="632"/>
      <c r="J57" s="632" t="s">
        <v>342</v>
      </c>
      <c r="K57" s="632"/>
      <c r="L57" s="632"/>
      <c r="M57" s="632"/>
      <c r="N57" s="632"/>
      <c r="O57" s="632"/>
      <c r="P57" s="632"/>
      <c r="Q57" s="633">
        <v>9628224.6400000006</v>
      </c>
      <c r="R57" s="633"/>
      <c r="T57" s="634">
        <v>7993533.6900000004</v>
      </c>
      <c r="U57" s="634"/>
      <c r="V57" s="634"/>
      <c r="Y57" s="634">
        <v>8083085.5800000001</v>
      </c>
      <c r="Z57" s="634"/>
      <c r="AA57" s="634"/>
      <c r="AB57" s="634"/>
      <c r="AC57" s="634"/>
      <c r="AD57" s="634"/>
      <c r="AF57" s="633">
        <v>9538672.75</v>
      </c>
      <c r="AG57" s="633"/>
      <c r="AH57" s="633"/>
      <c r="AI57" s="633"/>
      <c r="AJ57" s="633"/>
      <c r="AK57" s="633"/>
      <c r="AL57" s="633"/>
    </row>
    <row r="58" spans="1:38" ht="11.1" customHeight="1" x14ac:dyDescent="0.25">
      <c r="A58" s="630" t="s">
        <v>3373</v>
      </c>
      <c r="B58" s="630"/>
      <c r="C58" s="630"/>
      <c r="K58" s="630" t="s">
        <v>344</v>
      </c>
      <c r="L58" s="630"/>
      <c r="M58" s="630"/>
      <c r="N58" s="630"/>
      <c r="O58" s="630"/>
      <c r="P58" s="630"/>
      <c r="Q58" s="627">
        <v>9133478.7799999993</v>
      </c>
      <c r="R58" s="627"/>
      <c r="T58" s="631">
        <v>7484399.0700000003</v>
      </c>
      <c r="U58" s="631"/>
      <c r="V58" s="631"/>
      <c r="Y58" s="631">
        <v>7588339.71</v>
      </c>
      <c r="Z58" s="631"/>
      <c r="AA58" s="631"/>
      <c r="AB58" s="631"/>
      <c r="AC58" s="631"/>
      <c r="AD58" s="631"/>
      <c r="AF58" s="627">
        <v>9029538.1400000006</v>
      </c>
      <c r="AG58" s="627"/>
      <c r="AH58" s="627"/>
      <c r="AI58" s="627"/>
      <c r="AJ58" s="627"/>
      <c r="AK58" s="627"/>
      <c r="AL58" s="627"/>
    </row>
    <row r="59" spans="1:38" ht="11.1" customHeight="1" x14ac:dyDescent="0.25">
      <c r="A59" s="630" t="s">
        <v>3374</v>
      </c>
      <c r="B59" s="630"/>
      <c r="C59" s="630"/>
      <c r="L59" s="630" t="s">
        <v>344</v>
      </c>
      <c r="M59" s="630"/>
      <c r="N59" s="630"/>
      <c r="O59" s="630"/>
      <c r="P59" s="630"/>
      <c r="Q59" s="627">
        <v>9133478.7799999993</v>
      </c>
      <c r="R59" s="627"/>
      <c r="T59" s="631">
        <v>7484399.0700000003</v>
      </c>
      <c r="U59" s="631"/>
      <c r="V59" s="631"/>
      <c r="Y59" s="631">
        <v>7588339.71</v>
      </c>
      <c r="Z59" s="631"/>
      <c r="AA59" s="631"/>
      <c r="AB59" s="631"/>
      <c r="AC59" s="631"/>
      <c r="AD59" s="631"/>
      <c r="AF59" s="627">
        <v>9029538.1400000006</v>
      </c>
      <c r="AG59" s="627"/>
      <c r="AH59" s="627"/>
      <c r="AI59" s="627"/>
      <c r="AJ59" s="627"/>
      <c r="AK59" s="627"/>
      <c r="AL59" s="627"/>
    </row>
    <row r="60" spans="1:38" ht="11.1" customHeight="1" x14ac:dyDescent="0.25">
      <c r="A60" s="630" t="s">
        <v>3375</v>
      </c>
      <c r="B60" s="630"/>
      <c r="C60" s="630"/>
      <c r="M60" s="630" t="s">
        <v>347</v>
      </c>
      <c r="N60" s="630"/>
      <c r="O60" s="630"/>
      <c r="P60" s="630"/>
      <c r="Q60" s="627">
        <v>165870.31</v>
      </c>
      <c r="R60" s="627"/>
      <c r="T60" s="631">
        <v>136564.98000000001</v>
      </c>
      <c r="U60" s="631"/>
      <c r="V60" s="631"/>
      <c r="Y60" s="631">
        <v>121817.18</v>
      </c>
      <c r="Z60" s="631"/>
      <c r="AA60" s="631"/>
      <c r="AB60" s="631"/>
      <c r="AC60" s="631"/>
      <c r="AD60" s="631"/>
      <c r="AF60" s="627">
        <v>180618.11</v>
      </c>
      <c r="AG60" s="627"/>
      <c r="AH60" s="627"/>
      <c r="AI60" s="627"/>
      <c r="AJ60" s="627"/>
      <c r="AK60" s="627"/>
      <c r="AL60" s="627"/>
    </row>
    <row r="61" spans="1:38" ht="11.1" customHeight="1" x14ac:dyDescent="0.25">
      <c r="A61" s="630" t="s">
        <v>3376</v>
      </c>
      <c r="B61" s="630"/>
      <c r="C61" s="630"/>
      <c r="M61" s="630" t="s">
        <v>349</v>
      </c>
      <c r="N61" s="630"/>
      <c r="O61" s="630"/>
      <c r="P61" s="630"/>
      <c r="Q61" s="627">
        <v>234460.71</v>
      </c>
      <c r="R61" s="627"/>
      <c r="T61" s="631">
        <v>174414.07999999999</v>
      </c>
      <c r="U61" s="631"/>
      <c r="V61" s="631"/>
      <c r="Y61" s="631">
        <v>177299.20000000001</v>
      </c>
      <c r="Z61" s="631"/>
      <c r="AA61" s="631"/>
      <c r="AB61" s="631"/>
      <c r="AC61" s="631"/>
      <c r="AD61" s="631"/>
      <c r="AF61" s="627">
        <v>231575.59</v>
      </c>
      <c r="AG61" s="627"/>
      <c r="AH61" s="627"/>
      <c r="AI61" s="627"/>
      <c r="AJ61" s="627"/>
      <c r="AK61" s="627"/>
      <c r="AL61" s="627"/>
    </row>
    <row r="62" spans="1:38" ht="11.1" customHeight="1" x14ac:dyDescent="0.25">
      <c r="A62" s="630" t="s">
        <v>3377</v>
      </c>
      <c r="B62" s="630"/>
      <c r="C62" s="630"/>
      <c r="M62" s="630" t="s">
        <v>351</v>
      </c>
      <c r="N62" s="630"/>
      <c r="O62" s="630"/>
      <c r="P62" s="630"/>
      <c r="Q62" s="627">
        <v>382244.08</v>
      </c>
      <c r="R62" s="627"/>
      <c r="T62" s="631">
        <v>277597.18</v>
      </c>
      <c r="U62" s="631"/>
      <c r="V62" s="631"/>
      <c r="Y62" s="631">
        <v>287057.03000000003</v>
      </c>
      <c r="Z62" s="631"/>
      <c r="AA62" s="631"/>
      <c r="AB62" s="631"/>
      <c r="AC62" s="631"/>
      <c r="AD62" s="631"/>
      <c r="AF62" s="627">
        <v>372784.23</v>
      </c>
      <c r="AG62" s="627"/>
      <c r="AH62" s="627"/>
      <c r="AI62" s="627"/>
      <c r="AJ62" s="627"/>
      <c r="AK62" s="627"/>
      <c r="AL62" s="627"/>
    </row>
    <row r="63" spans="1:38" ht="11.1" customHeight="1" x14ac:dyDescent="0.25">
      <c r="A63" s="630" t="s">
        <v>3378</v>
      </c>
      <c r="B63" s="630"/>
      <c r="C63" s="630"/>
      <c r="M63" s="630" t="s">
        <v>353</v>
      </c>
      <c r="N63" s="630"/>
      <c r="O63" s="630"/>
      <c r="P63" s="630"/>
      <c r="Q63" s="627">
        <v>472782.09</v>
      </c>
      <c r="R63" s="627"/>
      <c r="T63" s="631">
        <v>349583.16</v>
      </c>
      <c r="U63" s="631"/>
      <c r="V63" s="631"/>
      <c r="Y63" s="631">
        <v>364093.23</v>
      </c>
      <c r="Z63" s="631"/>
      <c r="AA63" s="631"/>
      <c r="AB63" s="631"/>
      <c r="AC63" s="631"/>
      <c r="AD63" s="631"/>
      <c r="AF63" s="627">
        <v>458272.02</v>
      </c>
      <c r="AG63" s="627"/>
      <c r="AH63" s="627"/>
      <c r="AI63" s="627"/>
      <c r="AJ63" s="627"/>
      <c r="AK63" s="627"/>
      <c r="AL63" s="627"/>
    </row>
    <row r="64" spans="1:38" ht="11.1" customHeight="1" x14ac:dyDescent="0.25">
      <c r="A64" s="630" t="s">
        <v>3379</v>
      </c>
      <c r="B64" s="630"/>
      <c r="C64" s="630"/>
      <c r="M64" s="630" t="s">
        <v>355</v>
      </c>
      <c r="N64" s="630"/>
      <c r="O64" s="630"/>
      <c r="P64" s="630"/>
      <c r="Q64" s="627">
        <v>401064.57</v>
      </c>
      <c r="R64" s="627"/>
      <c r="T64" s="631">
        <v>311059.62</v>
      </c>
      <c r="U64" s="631"/>
      <c r="V64" s="631"/>
      <c r="Y64" s="631">
        <v>300181.19</v>
      </c>
      <c r="Z64" s="631"/>
      <c r="AA64" s="631"/>
      <c r="AB64" s="631"/>
      <c r="AC64" s="631"/>
      <c r="AD64" s="631"/>
      <c r="AF64" s="627">
        <v>411943</v>
      </c>
      <c r="AG64" s="627"/>
      <c r="AH64" s="627"/>
      <c r="AI64" s="627"/>
      <c r="AJ64" s="627"/>
      <c r="AK64" s="627"/>
      <c r="AL64" s="627"/>
    </row>
    <row r="65" spans="1:38" ht="11.1" customHeight="1" x14ac:dyDescent="0.25">
      <c r="A65" s="630" t="s">
        <v>3380</v>
      </c>
      <c r="B65" s="630"/>
      <c r="C65" s="630"/>
      <c r="M65" s="630" t="s">
        <v>357</v>
      </c>
      <c r="N65" s="630"/>
      <c r="O65" s="630"/>
      <c r="P65" s="630"/>
      <c r="Q65" s="627">
        <v>281067.99</v>
      </c>
      <c r="R65" s="627"/>
      <c r="T65" s="631">
        <v>194599.32</v>
      </c>
      <c r="U65" s="631"/>
      <c r="V65" s="631"/>
      <c r="Y65" s="631">
        <v>211525.72</v>
      </c>
      <c r="Z65" s="631"/>
      <c r="AA65" s="631"/>
      <c r="AB65" s="631"/>
      <c r="AC65" s="631"/>
      <c r="AD65" s="631"/>
      <c r="AF65" s="627">
        <v>264141.59000000003</v>
      </c>
      <c r="AG65" s="627"/>
      <c r="AH65" s="627"/>
      <c r="AI65" s="627"/>
      <c r="AJ65" s="627"/>
      <c r="AK65" s="627"/>
      <c r="AL65" s="627"/>
    </row>
    <row r="66" spans="1:38" ht="11.1" customHeight="1" x14ac:dyDescent="0.25">
      <c r="A66" s="630" t="s">
        <v>3381</v>
      </c>
      <c r="B66" s="630"/>
      <c r="C66" s="630"/>
      <c r="M66" s="630" t="s">
        <v>359</v>
      </c>
      <c r="N66" s="630"/>
      <c r="O66" s="630"/>
      <c r="P66" s="630"/>
      <c r="Q66" s="627">
        <v>151940.85</v>
      </c>
      <c r="R66" s="627"/>
      <c r="T66" s="631">
        <v>124617.65</v>
      </c>
      <c r="U66" s="631"/>
      <c r="V66" s="631"/>
      <c r="Y66" s="631">
        <v>128182.54</v>
      </c>
      <c r="Z66" s="631"/>
      <c r="AA66" s="631"/>
      <c r="AB66" s="631"/>
      <c r="AC66" s="631"/>
      <c r="AD66" s="631"/>
      <c r="AF66" s="627">
        <v>148375.96</v>
      </c>
      <c r="AG66" s="627"/>
      <c r="AH66" s="627"/>
      <c r="AI66" s="627"/>
      <c r="AJ66" s="627"/>
      <c r="AK66" s="627"/>
      <c r="AL66" s="627"/>
    </row>
    <row r="67" spans="1:38" ht="11.1" customHeight="1" x14ac:dyDescent="0.25">
      <c r="A67" s="630" t="s">
        <v>3382</v>
      </c>
      <c r="B67" s="630"/>
      <c r="C67" s="630"/>
      <c r="M67" s="630" t="s">
        <v>361</v>
      </c>
      <c r="N67" s="630"/>
      <c r="O67" s="630"/>
      <c r="P67" s="630"/>
      <c r="Q67" s="627">
        <v>149158.21</v>
      </c>
      <c r="R67" s="627"/>
      <c r="T67" s="631">
        <v>117209.07</v>
      </c>
      <c r="U67" s="631"/>
      <c r="V67" s="631"/>
      <c r="Y67" s="631">
        <v>111808.86</v>
      </c>
      <c r="Z67" s="631"/>
      <c r="AA67" s="631"/>
      <c r="AB67" s="631"/>
      <c r="AC67" s="631"/>
      <c r="AD67" s="631"/>
      <c r="AF67" s="627">
        <v>154558.42000000001</v>
      </c>
      <c r="AG67" s="627"/>
      <c r="AH67" s="627"/>
      <c r="AI67" s="627"/>
      <c r="AJ67" s="627"/>
      <c r="AK67" s="627"/>
      <c r="AL67" s="627"/>
    </row>
    <row r="68" spans="1:38" ht="11.1" customHeight="1" x14ac:dyDescent="0.25">
      <c r="A68" s="630" t="s">
        <v>3383</v>
      </c>
      <c r="B68" s="630"/>
      <c r="C68" s="630"/>
      <c r="M68" s="630" t="s">
        <v>363</v>
      </c>
      <c r="N68" s="630"/>
      <c r="O68" s="630"/>
      <c r="P68" s="630"/>
      <c r="Q68" s="627">
        <v>115649.66</v>
      </c>
      <c r="R68" s="627"/>
      <c r="T68" s="631">
        <v>101062.64</v>
      </c>
      <c r="U68" s="631"/>
      <c r="V68" s="631"/>
      <c r="Y68" s="631">
        <v>86105.53</v>
      </c>
      <c r="Z68" s="631"/>
      <c r="AA68" s="631"/>
      <c r="AB68" s="631"/>
      <c r="AC68" s="631"/>
      <c r="AD68" s="631"/>
      <c r="AF68" s="627">
        <v>130606.77</v>
      </c>
      <c r="AG68" s="627"/>
      <c r="AH68" s="627"/>
      <c r="AI68" s="627"/>
      <c r="AJ68" s="627"/>
      <c r="AK68" s="627"/>
      <c r="AL68" s="627"/>
    </row>
    <row r="69" spans="1:38" ht="11.1" customHeight="1" x14ac:dyDescent="0.25">
      <c r="A69" s="630" t="s">
        <v>3384</v>
      </c>
      <c r="B69" s="630"/>
      <c r="C69" s="630"/>
      <c r="M69" s="630" t="s">
        <v>365</v>
      </c>
      <c r="N69" s="630"/>
      <c r="O69" s="630"/>
      <c r="P69" s="630"/>
      <c r="Q69" s="627">
        <v>84143.9</v>
      </c>
      <c r="R69" s="627"/>
      <c r="T69" s="631">
        <v>64673.08</v>
      </c>
      <c r="U69" s="631"/>
      <c r="V69" s="631"/>
      <c r="Y69" s="631">
        <v>63281.77</v>
      </c>
      <c r="Z69" s="631"/>
      <c r="AA69" s="631"/>
      <c r="AB69" s="631"/>
      <c r="AC69" s="631"/>
      <c r="AD69" s="631"/>
      <c r="AF69" s="627">
        <v>85535.21</v>
      </c>
      <c r="AG69" s="627"/>
      <c r="AH69" s="627"/>
      <c r="AI69" s="627"/>
      <c r="AJ69" s="627"/>
      <c r="AK69" s="627"/>
      <c r="AL69" s="627"/>
    </row>
    <row r="70" spans="1:38" ht="11.1" customHeight="1" x14ac:dyDescent="0.25">
      <c r="A70" s="630" t="s">
        <v>3385</v>
      </c>
      <c r="B70" s="630"/>
      <c r="C70" s="630"/>
      <c r="M70" s="630" t="s">
        <v>367</v>
      </c>
      <c r="N70" s="630"/>
      <c r="O70" s="630"/>
      <c r="P70" s="630"/>
      <c r="Q70" s="627">
        <v>576098.14</v>
      </c>
      <c r="R70" s="627"/>
      <c r="T70" s="631">
        <v>429320.01</v>
      </c>
      <c r="U70" s="631"/>
      <c r="V70" s="631"/>
      <c r="Y70" s="631">
        <v>432406.09</v>
      </c>
      <c r="Z70" s="631"/>
      <c r="AA70" s="631"/>
      <c r="AB70" s="631"/>
      <c r="AC70" s="631"/>
      <c r="AD70" s="631"/>
      <c r="AF70" s="627">
        <v>573012.06000000006</v>
      </c>
      <c r="AG70" s="627"/>
      <c r="AH70" s="627"/>
      <c r="AI70" s="627"/>
      <c r="AJ70" s="627"/>
      <c r="AK70" s="627"/>
      <c r="AL70" s="627"/>
    </row>
    <row r="71" spans="1:38" ht="11.1" customHeight="1" x14ac:dyDescent="0.25">
      <c r="A71" s="630" t="s">
        <v>3386</v>
      </c>
      <c r="B71" s="630"/>
      <c r="C71" s="630"/>
      <c r="M71" s="630" t="s">
        <v>369</v>
      </c>
      <c r="N71" s="630"/>
      <c r="O71" s="630"/>
      <c r="P71" s="630"/>
      <c r="Q71" s="627">
        <v>769084.85</v>
      </c>
      <c r="R71" s="627"/>
      <c r="T71" s="631">
        <v>570528.28</v>
      </c>
      <c r="U71" s="631"/>
      <c r="V71" s="631"/>
      <c r="Y71" s="631">
        <v>395953.84</v>
      </c>
      <c r="Z71" s="631"/>
      <c r="AA71" s="631"/>
      <c r="AB71" s="631"/>
      <c r="AC71" s="631"/>
      <c r="AD71" s="631"/>
      <c r="AF71" s="627">
        <v>943659.29</v>
      </c>
      <c r="AG71" s="627"/>
      <c r="AH71" s="627"/>
      <c r="AI71" s="627"/>
      <c r="AJ71" s="627"/>
      <c r="AK71" s="627"/>
      <c r="AL71" s="627"/>
    </row>
    <row r="72" spans="1:38" ht="11.1" customHeight="1" x14ac:dyDescent="0.25">
      <c r="A72" s="630" t="s">
        <v>3387</v>
      </c>
      <c r="B72" s="630"/>
      <c r="C72" s="630"/>
      <c r="M72" s="630" t="s">
        <v>371</v>
      </c>
      <c r="N72" s="630"/>
      <c r="O72" s="630"/>
      <c r="P72" s="630"/>
      <c r="Q72" s="627">
        <v>10960.88</v>
      </c>
      <c r="R72" s="627"/>
      <c r="T72" s="631">
        <v>9521.57</v>
      </c>
      <c r="U72" s="631"/>
      <c r="V72" s="631"/>
      <c r="Y72" s="631">
        <v>10960.88</v>
      </c>
      <c r="Z72" s="631"/>
      <c r="AA72" s="631"/>
      <c r="AB72" s="631"/>
      <c r="AC72" s="631"/>
      <c r="AD72" s="631"/>
      <c r="AF72" s="627">
        <v>9521.57</v>
      </c>
      <c r="AG72" s="627"/>
      <c r="AH72" s="627"/>
      <c r="AI72" s="627"/>
      <c r="AJ72" s="627"/>
      <c r="AK72" s="627"/>
      <c r="AL72" s="627"/>
    </row>
    <row r="73" spans="1:38" ht="11.1" customHeight="1" x14ac:dyDescent="0.25">
      <c r="A73" s="630" t="s">
        <v>3388</v>
      </c>
      <c r="B73" s="630"/>
      <c r="C73" s="630"/>
      <c r="M73" s="630" t="s">
        <v>373</v>
      </c>
      <c r="N73" s="630"/>
      <c r="O73" s="630"/>
      <c r="P73" s="630"/>
      <c r="Q73" s="627">
        <v>71348.78</v>
      </c>
      <c r="R73" s="627"/>
      <c r="T73" s="631">
        <v>52372.15</v>
      </c>
      <c r="U73" s="631"/>
      <c r="V73" s="631"/>
      <c r="Y73" s="631">
        <v>55120.52</v>
      </c>
      <c r="Z73" s="631"/>
      <c r="AA73" s="631"/>
      <c r="AB73" s="631"/>
      <c r="AC73" s="631"/>
      <c r="AD73" s="631"/>
      <c r="AF73" s="627">
        <v>68600.41</v>
      </c>
      <c r="AG73" s="627"/>
      <c r="AH73" s="627"/>
      <c r="AI73" s="627"/>
      <c r="AJ73" s="627"/>
      <c r="AK73" s="627"/>
      <c r="AL73" s="627"/>
    </row>
    <row r="74" spans="1:38" ht="11.1" customHeight="1" x14ac:dyDescent="0.25">
      <c r="A74" s="630" t="s">
        <v>3389</v>
      </c>
      <c r="B74" s="630"/>
      <c r="C74" s="630"/>
      <c r="M74" s="630" t="s">
        <v>375</v>
      </c>
      <c r="N74" s="630"/>
      <c r="O74" s="630"/>
      <c r="P74" s="630"/>
      <c r="Q74" s="627">
        <v>58466.18</v>
      </c>
      <c r="R74" s="627"/>
      <c r="T74" s="631">
        <v>50748.32</v>
      </c>
      <c r="U74" s="631"/>
      <c r="V74" s="631"/>
      <c r="Y74" s="631">
        <v>46708.02</v>
      </c>
      <c r="Z74" s="631"/>
      <c r="AA74" s="631"/>
      <c r="AB74" s="631"/>
      <c r="AC74" s="631"/>
      <c r="AD74" s="631"/>
      <c r="AF74" s="627">
        <v>62506.48</v>
      </c>
      <c r="AG74" s="627"/>
      <c r="AH74" s="627"/>
      <c r="AI74" s="627"/>
      <c r="AJ74" s="627"/>
      <c r="AK74" s="627"/>
      <c r="AL74" s="627"/>
    </row>
    <row r="75" spans="1:38" ht="11.1" customHeight="1" x14ac:dyDescent="0.25">
      <c r="A75" s="630" t="s">
        <v>3390</v>
      </c>
      <c r="B75" s="630"/>
      <c r="C75" s="630"/>
      <c r="M75" s="630" t="s">
        <v>377</v>
      </c>
      <c r="N75" s="630"/>
      <c r="O75" s="630"/>
      <c r="P75" s="630"/>
      <c r="Q75" s="627">
        <v>460940.54</v>
      </c>
      <c r="R75" s="627"/>
      <c r="T75" s="631">
        <v>367904.17</v>
      </c>
      <c r="U75" s="631"/>
      <c r="V75" s="631"/>
      <c r="Y75" s="631">
        <v>344908.96</v>
      </c>
      <c r="Z75" s="631"/>
      <c r="AA75" s="631"/>
      <c r="AB75" s="631"/>
      <c r="AC75" s="631"/>
      <c r="AD75" s="631"/>
      <c r="AF75" s="627">
        <v>483935.75</v>
      </c>
      <c r="AG75" s="627"/>
      <c r="AH75" s="627"/>
      <c r="AI75" s="627"/>
      <c r="AJ75" s="627"/>
      <c r="AK75" s="627"/>
      <c r="AL75" s="627"/>
    </row>
    <row r="76" spans="1:38" ht="11.1" customHeight="1" x14ac:dyDescent="0.25">
      <c r="A76" s="630" t="s">
        <v>3391</v>
      </c>
      <c r="B76" s="630"/>
      <c r="C76" s="630"/>
      <c r="M76" s="630" t="s">
        <v>379</v>
      </c>
      <c r="N76" s="630"/>
      <c r="O76" s="630"/>
      <c r="P76" s="630"/>
      <c r="Q76" s="627">
        <v>114876.94</v>
      </c>
      <c r="R76" s="627"/>
      <c r="T76" s="631">
        <v>79017.19</v>
      </c>
      <c r="U76" s="631"/>
      <c r="V76" s="631"/>
      <c r="Y76" s="631">
        <v>88218.48</v>
      </c>
      <c r="Z76" s="631"/>
      <c r="AA76" s="631"/>
      <c r="AB76" s="631"/>
      <c r="AC76" s="631"/>
      <c r="AD76" s="631"/>
      <c r="AF76" s="627">
        <v>105675.65</v>
      </c>
      <c r="AG76" s="627"/>
      <c r="AH76" s="627"/>
      <c r="AI76" s="627"/>
      <c r="AJ76" s="627"/>
      <c r="AK76" s="627"/>
      <c r="AL76" s="627"/>
    </row>
    <row r="77" spans="1:38" ht="11.1" customHeight="1" x14ac:dyDescent="0.25">
      <c r="A77" s="630" t="s">
        <v>3392</v>
      </c>
      <c r="B77" s="630"/>
      <c r="C77" s="630"/>
      <c r="M77" s="630" t="s">
        <v>381</v>
      </c>
      <c r="N77" s="630"/>
      <c r="O77" s="630"/>
      <c r="P77" s="630"/>
      <c r="Q77" s="627">
        <v>33017.980000000003</v>
      </c>
      <c r="R77" s="627"/>
      <c r="T77" s="631">
        <v>33056.51</v>
      </c>
      <c r="U77" s="631"/>
      <c r="V77" s="631"/>
      <c r="Y77" s="631">
        <v>33017.980000000003</v>
      </c>
      <c r="Z77" s="631"/>
      <c r="AA77" s="631"/>
      <c r="AB77" s="631"/>
      <c r="AC77" s="631"/>
      <c r="AD77" s="631"/>
      <c r="AF77" s="627">
        <v>33056.51</v>
      </c>
      <c r="AG77" s="627"/>
      <c r="AH77" s="627"/>
      <c r="AI77" s="627"/>
      <c r="AJ77" s="627"/>
      <c r="AK77" s="627"/>
      <c r="AL77" s="627"/>
    </row>
    <row r="78" spans="1:38" ht="11.1" customHeight="1" x14ac:dyDescent="0.25">
      <c r="A78" s="630" t="s">
        <v>3393</v>
      </c>
      <c r="B78" s="630"/>
      <c r="C78" s="630"/>
      <c r="M78" s="630" t="s">
        <v>383</v>
      </c>
      <c r="N78" s="630"/>
      <c r="O78" s="630"/>
      <c r="P78" s="630"/>
      <c r="Q78" s="627">
        <v>96902.07</v>
      </c>
      <c r="R78" s="627"/>
      <c r="T78" s="631">
        <v>78377.320000000007</v>
      </c>
      <c r="U78" s="631"/>
      <c r="V78" s="631"/>
      <c r="Y78" s="631">
        <v>73015.34</v>
      </c>
      <c r="Z78" s="631"/>
      <c r="AA78" s="631"/>
      <c r="AB78" s="631"/>
      <c r="AC78" s="631"/>
      <c r="AD78" s="631"/>
      <c r="AF78" s="627">
        <v>102264.05</v>
      </c>
      <c r="AG78" s="627"/>
      <c r="AH78" s="627"/>
      <c r="AI78" s="627"/>
      <c r="AJ78" s="627"/>
      <c r="AK78" s="627"/>
      <c r="AL78" s="627"/>
    </row>
    <row r="79" spans="1:38" ht="11.1" customHeight="1" x14ac:dyDescent="0.25">
      <c r="A79" s="630" t="s">
        <v>3394</v>
      </c>
      <c r="B79" s="630"/>
      <c r="C79" s="630"/>
      <c r="M79" s="630" t="s">
        <v>385</v>
      </c>
      <c r="N79" s="630"/>
      <c r="O79" s="630"/>
      <c r="P79" s="630"/>
      <c r="Q79" s="627">
        <v>43478.22</v>
      </c>
      <c r="R79" s="627"/>
      <c r="T79" s="631">
        <v>32896.71</v>
      </c>
      <c r="U79" s="631"/>
      <c r="V79" s="631"/>
      <c r="Y79" s="631">
        <v>32795.599999999999</v>
      </c>
      <c r="Z79" s="631"/>
      <c r="AA79" s="631"/>
      <c r="AB79" s="631"/>
      <c r="AC79" s="631"/>
      <c r="AD79" s="631"/>
      <c r="AF79" s="627">
        <v>43579.33</v>
      </c>
      <c r="AG79" s="627"/>
      <c r="AH79" s="627"/>
      <c r="AI79" s="627"/>
      <c r="AJ79" s="627"/>
      <c r="AK79" s="627"/>
      <c r="AL79" s="627"/>
    </row>
    <row r="80" spans="1:38" ht="11.1" customHeight="1" x14ac:dyDescent="0.25">
      <c r="A80" s="630" t="s">
        <v>3395</v>
      </c>
      <c r="B80" s="630"/>
      <c r="C80" s="630"/>
      <c r="M80" s="630" t="s">
        <v>387</v>
      </c>
      <c r="N80" s="630"/>
      <c r="O80" s="630"/>
      <c r="P80" s="630"/>
      <c r="Q80" s="627">
        <v>541547.35</v>
      </c>
      <c r="R80" s="627"/>
      <c r="T80" s="631">
        <v>373601.81</v>
      </c>
      <c r="U80" s="631"/>
      <c r="V80" s="631"/>
      <c r="Y80" s="631">
        <v>541547.35</v>
      </c>
      <c r="Z80" s="631"/>
      <c r="AA80" s="631"/>
      <c r="AB80" s="631"/>
      <c r="AC80" s="631"/>
      <c r="AD80" s="631"/>
      <c r="AF80" s="627">
        <v>373601.81</v>
      </c>
      <c r="AG80" s="627"/>
      <c r="AH80" s="627"/>
      <c r="AI80" s="627"/>
      <c r="AJ80" s="627"/>
      <c r="AK80" s="627"/>
      <c r="AL80" s="627"/>
    </row>
    <row r="81" spans="1:38" ht="11.1" customHeight="1" x14ac:dyDescent="0.25">
      <c r="A81" s="630" t="s">
        <v>3396</v>
      </c>
      <c r="B81" s="630"/>
      <c r="C81" s="630"/>
      <c r="M81" s="630" t="s">
        <v>389</v>
      </c>
      <c r="N81" s="630"/>
      <c r="O81" s="630"/>
      <c r="P81" s="630"/>
      <c r="Q81" s="627">
        <v>278068.40999999997</v>
      </c>
      <c r="R81" s="627"/>
      <c r="T81" s="631">
        <v>222679.75</v>
      </c>
      <c r="U81" s="631"/>
      <c r="V81" s="631"/>
      <c r="Y81" s="631">
        <v>210553.05</v>
      </c>
      <c r="Z81" s="631"/>
      <c r="AA81" s="631"/>
      <c r="AB81" s="631"/>
      <c r="AC81" s="631"/>
      <c r="AD81" s="631"/>
      <c r="AF81" s="627">
        <v>290195.11</v>
      </c>
      <c r="AG81" s="627"/>
      <c r="AH81" s="627"/>
      <c r="AI81" s="627"/>
      <c r="AJ81" s="627"/>
      <c r="AK81" s="627"/>
      <c r="AL81" s="627"/>
    </row>
    <row r="82" spans="1:38" ht="11.1" customHeight="1" x14ac:dyDescent="0.25">
      <c r="A82" s="630" t="s">
        <v>3397</v>
      </c>
      <c r="B82" s="630"/>
      <c r="C82" s="630"/>
      <c r="M82" s="630" t="s">
        <v>391</v>
      </c>
      <c r="N82" s="630"/>
      <c r="O82" s="630"/>
      <c r="P82" s="630"/>
      <c r="Q82" s="627">
        <v>240626.14</v>
      </c>
      <c r="R82" s="627"/>
      <c r="T82" s="631">
        <v>202903.85</v>
      </c>
      <c r="U82" s="631"/>
      <c r="V82" s="631"/>
      <c r="Y82" s="631">
        <v>181397.23</v>
      </c>
      <c r="Z82" s="631"/>
      <c r="AA82" s="631"/>
      <c r="AB82" s="631"/>
      <c r="AC82" s="631"/>
      <c r="AD82" s="631"/>
      <c r="AF82" s="627">
        <v>262132.76</v>
      </c>
      <c r="AG82" s="627"/>
      <c r="AH82" s="627"/>
      <c r="AI82" s="627"/>
      <c r="AJ82" s="627"/>
      <c r="AK82" s="627"/>
      <c r="AL82" s="627"/>
    </row>
    <row r="83" spans="1:38" ht="11.1" customHeight="1" x14ac:dyDescent="0.25">
      <c r="A83" s="630" t="s">
        <v>3398</v>
      </c>
      <c r="B83" s="630"/>
      <c r="C83" s="630"/>
      <c r="M83" s="630" t="s">
        <v>393</v>
      </c>
      <c r="N83" s="630"/>
      <c r="O83" s="630"/>
      <c r="P83" s="630"/>
      <c r="Q83" s="627">
        <v>216579.93</v>
      </c>
      <c r="R83" s="627"/>
      <c r="T83" s="631">
        <v>141590.06</v>
      </c>
      <c r="U83" s="631"/>
      <c r="V83" s="631"/>
      <c r="Y83" s="631">
        <v>165212.56</v>
      </c>
      <c r="Z83" s="631"/>
      <c r="AA83" s="631"/>
      <c r="AB83" s="631"/>
      <c r="AC83" s="631"/>
      <c r="AD83" s="631"/>
      <c r="AF83" s="627">
        <v>192957.43</v>
      </c>
      <c r="AG83" s="627"/>
      <c r="AH83" s="627"/>
      <c r="AI83" s="627"/>
      <c r="AJ83" s="627"/>
      <c r="AK83" s="627"/>
      <c r="AL83" s="627"/>
    </row>
    <row r="84" spans="1:38" ht="11.1" customHeight="1" x14ac:dyDescent="0.25">
      <c r="A84" s="630" t="s">
        <v>3399</v>
      </c>
      <c r="B84" s="630"/>
      <c r="C84" s="630"/>
      <c r="M84" s="630" t="s">
        <v>2262</v>
      </c>
      <c r="N84" s="630"/>
      <c r="O84" s="630"/>
      <c r="P84" s="630"/>
      <c r="Q84" s="627">
        <v>13988.42</v>
      </c>
      <c r="R84" s="627"/>
      <c r="T84" s="631">
        <v>14816.42</v>
      </c>
      <c r="U84" s="631"/>
      <c r="V84" s="631"/>
      <c r="Y84" s="631">
        <v>13988.42</v>
      </c>
      <c r="Z84" s="631"/>
      <c r="AA84" s="631"/>
      <c r="AB84" s="631"/>
      <c r="AC84" s="631"/>
      <c r="AD84" s="631"/>
      <c r="AF84" s="627">
        <v>14816.42</v>
      </c>
      <c r="AG84" s="627"/>
      <c r="AH84" s="627"/>
      <c r="AI84" s="627"/>
      <c r="AJ84" s="627"/>
      <c r="AK84" s="627"/>
      <c r="AL84" s="627"/>
    </row>
    <row r="85" spans="1:38" ht="11.1" customHeight="1" x14ac:dyDescent="0.25">
      <c r="A85" s="630" t="s">
        <v>3400</v>
      </c>
      <c r="B85" s="630"/>
      <c r="C85" s="630"/>
      <c r="M85" s="630" t="s">
        <v>395</v>
      </c>
      <c r="N85" s="630"/>
      <c r="O85" s="630"/>
      <c r="P85" s="630"/>
      <c r="Q85" s="627">
        <v>542597.79</v>
      </c>
      <c r="R85" s="627"/>
      <c r="T85" s="631">
        <v>569115.43000000005</v>
      </c>
      <c r="U85" s="631"/>
      <c r="V85" s="631"/>
      <c r="Y85" s="631">
        <v>541878.02</v>
      </c>
      <c r="Z85" s="631"/>
      <c r="AA85" s="631"/>
      <c r="AB85" s="631"/>
      <c r="AC85" s="631"/>
      <c r="AD85" s="631"/>
      <c r="AF85" s="627">
        <v>569835.19999999995</v>
      </c>
      <c r="AG85" s="627"/>
      <c r="AH85" s="627"/>
      <c r="AI85" s="627"/>
      <c r="AJ85" s="627"/>
      <c r="AK85" s="627"/>
      <c r="AL85" s="627"/>
    </row>
    <row r="86" spans="1:38" ht="11.1" customHeight="1" x14ac:dyDescent="0.25">
      <c r="A86" s="630" t="s">
        <v>3401</v>
      </c>
      <c r="B86" s="630"/>
      <c r="C86" s="630"/>
      <c r="M86" s="630" t="s">
        <v>2265</v>
      </c>
      <c r="N86" s="630"/>
      <c r="O86" s="630"/>
      <c r="P86" s="630"/>
      <c r="Q86" s="627">
        <v>146431.53</v>
      </c>
      <c r="R86" s="627"/>
      <c r="T86" s="631">
        <v>128797.11</v>
      </c>
      <c r="U86" s="631"/>
      <c r="V86" s="631"/>
      <c r="Y86" s="631">
        <v>146431.53</v>
      </c>
      <c r="Z86" s="631"/>
      <c r="AA86" s="631"/>
      <c r="AB86" s="631"/>
      <c r="AC86" s="631"/>
      <c r="AD86" s="631"/>
      <c r="AF86" s="627">
        <v>128797.11</v>
      </c>
      <c r="AG86" s="627"/>
      <c r="AH86" s="627"/>
      <c r="AI86" s="627"/>
      <c r="AJ86" s="627"/>
      <c r="AK86" s="627"/>
      <c r="AL86" s="627"/>
    </row>
    <row r="87" spans="1:38" ht="11.1" customHeight="1" x14ac:dyDescent="0.25">
      <c r="A87" s="630" t="s">
        <v>3402</v>
      </c>
      <c r="B87" s="630"/>
      <c r="C87" s="630"/>
      <c r="M87" s="630" t="s">
        <v>2766</v>
      </c>
      <c r="N87" s="630"/>
      <c r="O87" s="630"/>
      <c r="P87" s="630"/>
      <c r="Q87" s="627">
        <v>17299.18</v>
      </c>
      <c r="R87" s="627"/>
      <c r="T87" s="631">
        <v>17886.419999999998</v>
      </c>
      <c r="U87" s="631"/>
      <c r="V87" s="631"/>
      <c r="Y87" s="631">
        <v>17299.18</v>
      </c>
      <c r="Z87" s="631"/>
      <c r="AA87" s="631"/>
      <c r="AB87" s="631"/>
      <c r="AC87" s="631"/>
      <c r="AD87" s="631"/>
      <c r="AF87" s="627">
        <v>17886.419999999998</v>
      </c>
      <c r="AG87" s="627"/>
      <c r="AH87" s="627"/>
      <c r="AI87" s="627"/>
      <c r="AJ87" s="627"/>
      <c r="AK87" s="627"/>
      <c r="AL87" s="627"/>
    </row>
    <row r="88" spans="1:38" ht="11.1" customHeight="1" x14ac:dyDescent="0.25">
      <c r="A88" s="630" t="s">
        <v>3403</v>
      </c>
      <c r="B88" s="630"/>
      <c r="C88" s="630"/>
      <c r="M88" s="630" t="s">
        <v>2768</v>
      </c>
      <c r="N88" s="630"/>
      <c r="O88" s="630"/>
      <c r="P88" s="630"/>
      <c r="Q88" s="627">
        <v>306731.61</v>
      </c>
      <c r="R88" s="627"/>
      <c r="T88" s="631">
        <v>180912.64000000001</v>
      </c>
      <c r="U88" s="631"/>
      <c r="V88" s="631"/>
      <c r="Y88" s="631">
        <v>249522.94</v>
      </c>
      <c r="Z88" s="631"/>
      <c r="AA88" s="631"/>
      <c r="AB88" s="631"/>
      <c r="AC88" s="631"/>
      <c r="AD88" s="631"/>
      <c r="AF88" s="627">
        <v>238121.31</v>
      </c>
      <c r="AG88" s="627"/>
      <c r="AH88" s="627"/>
      <c r="AI88" s="627"/>
      <c r="AJ88" s="627"/>
      <c r="AK88" s="627"/>
      <c r="AL88" s="627"/>
    </row>
    <row r="89" spans="1:38" ht="11.1" customHeight="1" x14ac:dyDescent="0.25">
      <c r="A89" s="630" t="s">
        <v>3404</v>
      </c>
      <c r="B89" s="630"/>
      <c r="C89" s="630"/>
      <c r="M89" s="630" t="s">
        <v>2770</v>
      </c>
      <c r="N89" s="630"/>
      <c r="O89" s="630"/>
      <c r="P89" s="630"/>
      <c r="Q89" s="627">
        <v>456859.44</v>
      </c>
      <c r="R89" s="627"/>
      <c r="T89" s="631">
        <v>472088.09</v>
      </c>
      <c r="U89" s="631"/>
      <c r="V89" s="631"/>
      <c r="Y89" s="631">
        <v>456859.44</v>
      </c>
      <c r="Z89" s="631"/>
      <c r="AA89" s="631"/>
      <c r="AB89" s="631"/>
      <c r="AC89" s="631"/>
      <c r="AD89" s="631"/>
      <c r="AF89" s="627">
        <v>472088.09</v>
      </c>
      <c r="AG89" s="627"/>
      <c r="AH89" s="627"/>
      <c r="AI89" s="627"/>
      <c r="AJ89" s="627"/>
      <c r="AK89" s="627"/>
      <c r="AL89" s="627"/>
    </row>
    <row r="90" spans="1:38" ht="11.1" customHeight="1" x14ac:dyDescent="0.25">
      <c r="A90" s="630" t="s">
        <v>3405</v>
      </c>
      <c r="B90" s="630"/>
      <c r="C90" s="630"/>
      <c r="M90" s="630" t="s">
        <v>2772</v>
      </c>
      <c r="N90" s="630"/>
      <c r="O90" s="630"/>
      <c r="P90" s="630"/>
      <c r="Q90" s="627">
        <v>692367.84</v>
      </c>
      <c r="R90" s="627"/>
      <c r="T90" s="631">
        <v>715446.77</v>
      </c>
      <c r="U90" s="631"/>
      <c r="V90" s="631"/>
      <c r="Y90" s="631">
        <v>692367.84</v>
      </c>
      <c r="Z90" s="631"/>
      <c r="AA90" s="631"/>
      <c r="AB90" s="631"/>
      <c r="AC90" s="631"/>
      <c r="AD90" s="631"/>
      <c r="AF90" s="627">
        <v>715446.77</v>
      </c>
      <c r="AG90" s="627"/>
      <c r="AH90" s="627"/>
      <c r="AI90" s="627"/>
      <c r="AJ90" s="627"/>
      <c r="AK90" s="627"/>
      <c r="AL90" s="627"/>
    </row>
    <row r="91" spans="1:38" ht="11.1" customHeight="1" x14ac:dyDescent="0.25">
      <c r="A91" s="630" t="s">
        <v>3406</v>
      </c>
      <c r="B91" s="630"/>
      <c r="C91" s="630"/>
      <c r="M91" s="630" t="s">
        <v>2774</v>
      </c>
      <c r="N91" s="630"/>
      <c r="O91" s="630"/>
      <c r="P91" s="630"/>
      <c r="Q91" s="627">
        <v>819896.35</v>
      </c>
      <c r="R91" s="627"/>
      <c r="T91" s="631">
        <v>697411.84</v>
      </c>
      <c r="U91" s="631"/>
      <c r="V91" s="631"/>
      <c r="Y91" s="631">
        <v>819896.35</v>
      </c>
      <c r="Z91" s="631"/>
      <c r="AA91" s="631"/>
      <c r="AB91" s="631"/>
      <c r="AC91" s="631"/>
      <c r="AD91" s="631"/>
      <c r="AF91" s="627">
        <v>697411.84</v>
      </c>
      <c r="AG91" s="627"/>
      <c r="AH91" s="627"/>
      <c r="AI91" s="627"/>
      <c r="AJ91" s="627"/>
      <c r="AK91" s="627"/>
      <c r="AL91" s="627"/>
    </row>
    <row r="92" spans="1:38" ht="11.1" customHeight="1" x14ac:dyDescent="0.25">
      <c r="A92" s="630" t="s">
        <v>3407</v>
      </c>
      <c r="B92" s="630"/>
      <c r="C92" s="630"/>
      <c r="M92" s="630" t="s">
        <v>2776</v>
      </c>
      <c r="N92" s="630"/>
      <c r="O92" s="630"/>
      <c r="P92" s="630"/>
      <c r="Q92" s="627">
        <v>186927.84</v>
      </c>
      <c r="R92" s="627"/>
      <c r="T92" s="631">
        <v>192025.87</v>
      </c>
      <c r="U92" s="631"/>
      <c r="V92" s="631"/>
      <c r="Y92" s="631">
        <v>186927.84</v>
      </c>
      <c r="Z92" s="631"/>
      <c r="AA92" s="631"/>
      <c r="AB92" s="631"/>
      <c r="AC92" s="631"/>
      <c r="AD92" s="631"/>
      <c r="AF92" s="627">
        <v>192025.87</v>
      </c>
      <c r="AG92" s="627"/>
      <c r="AH92" s="627"/>
      <c r="AI92" s="627"/>
      <c r="AJ92" s="627"/>
      <c r="AK92" s="627"/>
      <c r="AL92" s="627"/>
    </row>
    <row r="93" spans="1:38" ht="11.1" customHeight="1" x14ac:dyDescent="0.25">
      <c r="A93" s="630" t="s">
        <v>3408</v>
      </c>
      <c r="B93" s="630"/>
      <c r="C93" s="630"/>
      <c r="K93" s="630" t="s">
        <v>397</v>
      </c>
      <c r="L93" s="630"/>
      <c r="M93" s="630"/>
      <c r="N93" s="630"/>
      <c r="O93" s="630"/>
      <c r="P93" s="630"/>
      <c r="Q93" s="627">
        <v>494745.86</v>
      </c>
      <c r="R93" s="627"/>
      <c r="T93" s="631">
        <v>509134.62</v>
      </c>
      <c r="U93" s="631"/>
      <c r="V93" s="631"/>
      <c r="Y93" s="631">
        <v>494745.87</v>
      </c>
      <c r="Z93" s="631"/>
      <c r="AA93" s="631"/>
      <c r="AB93" s="631"/>
      <c r="AC93" s="631"/>
      <c r="AD93" s="631"/>
      <c r="AF93" s="627">
        <v>509134.61</v>
      </c>
      <c r="AG93" s="627"/>
      <c r="AH93" s="627"/>
      <c r="AI93" s="627"/>
      <c r="AJ93" s="627"/>
      <c r="AK93" s="627"/>
      <c r="AL93" s="627"/>
    </row>
    <row r="94" spans="1:38" ht="11.1" customHeight="1" x14ac:dyDescent="0.25">
      <c r="A94" s="630" t="s">
        <v>3409</v>
      </c>
      <c r="B94" s="630"/>
      <c r="C94" s="630"/>
      <c r="L94" s="630" t="s">
        <v>397</v>
      </c>
      <c r="M94" s="630"/>
      <c r="N94" s="630"/>
      <c r="O94" s="630"/>
      <c r="P94" s="630"/>
      <c r="Q94" s="627">
        <v>494745.86</v>
      </c>
      <c r="R94" s="627"/>
      <c r="T94" s="631">
        <v>509134.62</v>
      </c>
      <c r="U94" s="631"/>
      <c r="V94" s="631"/>
      <c r="Y94" s="631">
        <v>494745.87</v>
      </c>
      <c r="Z94" s="631"/>
      <c r="AA94" s="631"/>
      <c r="AB94" s="631"/>
      <c r="AC94" s="631"/>
      <c r="AD94" s="631"/>
      <c r="AF94" s="627">
        <v>509134.61</v>
      </c>
      <c r="AG94" s="627"/>
      <c r="AH94" s="627"/>
      <c r="AI94" s="627"/>
      <c r="AJ94" s="627"/>
      <c r="AK94" s="627"/>
      <c r="AL94" s="627"/>
    </row>
    <row r="95" spans="1:38" ht="11.1" customHeight="1" x14ac:dyDescent="0.25">
      <c r="A95" s="630" t="s">
        <v>3410</v>
      </c>
      <c r="B95" s="630"/>
      <c r="C95" s="630"/>
      <c r="M95" s="630" t="s">
        <v>400</v>
      </c>
      <c r="N95" s="630"/>
      <c r="O95" s="630"/>
      <c r="P95" s="630"/>
      <c r="Q95" s="627">
        <v>494745.86</v>
      </c>
      <c r="R95" s="627"/>
      <c r="T95" s="631">
        <v>509134.62</v>
      </c>
      <c r="U95" s="631"/>
      <c r="V95" s="631"/>
      <c r="Y95" s="631">
        <v>494745.87</v>
      </c>
      <c r="Z95" s="631"/>
      <c r="AA95" s="631"/>
      <c r="AB95" s="631"/>
      <c r="AC95" s="631"/>
      <c r="AD95" s="631"/>
      <c r="AF95" s="627">
        <v>509134.61</v>
      </c>
      <c r="AG95" s="627"/>
      <c r="AH95" s="627"/>
      <c r="AI95" s="627"/>
      <c r="AJ95" s="627"/>
      <c r="AK95" s="627"/>
      <c r="AL95" s="627"/>
    </row>
    <row r="96" spans="1:38" ht="11.1" customHeight="1" x14ac:dyDescent="0.25">
      <c r="A96" s="632" t="s">
        <v>3411</v>
      </c>
      <c r="B96" s="632"/>
      <c r="C96" s="632"/>
      <c r="I96" s="632" t="s">
        <v>402</v>
      </c>
      <c r="J96" s="632"/>
      <c r="K96" s="632"/>
      <c r="L96" s="632"/>
      <c r="M96" s="632"/>
      <c r="N96" s="632"/>
      <c r="O96" s="632"/>
      <c r="P96" s="632"/>
      <c r="Q96" s="633">
        <v>7837741.8200000003</v>
      </c>
      <c r="R96" s="633"/>
      <c r="T96" s="634">
        <v>11002878.119999999</v>
      </c>
      <c r="U96" s="634"/>
      <c r="V96" s="634"/>
      <c r="Y96" s="634">
        <v>11614809.279999999</v>
      </c>
      <c r="Z96" s="634"/>
      <c r="AA96" s="634"/>
      <c r="AB96" s="634"/>
      <c r="AC96" s="634"/>
      <c r="AD96" s="634"/>
      <c r="AF96" s="633">
        <v>7225810.6600000001</v>
      </c>
      <c r="AG96" s="633"/>
      <c r="AH96" s="633"/>
      <c r="AI96" s="633"/>
      <c r="AJ96" s="633"/>
      <c r="AK96" s="633"/>
      <c r="AL96" s="633"/>
    </row>
    <row r="97" spans="1:38" ht="11.1" customHeight="1" x14ac:dyDescent="0.25">
      <c r="A97" s="632" t="s">
        <v>3412</v>
      </c>
      <c r="B97" s="632"/>
      <c r="C97" s="632"/>
      <c r="J97" s="632" t="s">
        <v>402</v>
      </c>
      <c r="K97" s="632"/>
      <c r="L97" s="632"/>
      <c r="M97" s="632"/>
      <c r="N97" s="632"/>
      <c r="O97" s="632"/>
      <c r="P97" s="632"/>
      <c r="Q97" s="633">
        <v>7837741.8200000003</v>
      </c>
      <c r="R97" s="633"/>
      <c r="T97" s="634">
        <v>11002878.119999999</v>
      </c>
      <c r="U97" s="634"/>
      <c r="V97" s="634"/>
      <c r="Y97" s="634">
        <v>11614809.279999999</v>
      </c>
      <c r="Z97" s="634"/>
      <c r="AA97" s="634"/>
      <c r="AB97" s="634"/>
      <c r="AC97" s="634"/>
      <c r="AD97" s="634"/>
      <c r="AF97" s="633">
        <v>7225810.6600000001</v>
      </c>
      <c r="AG97" s="633"/>
      <c r="AH97" s="633"/>
      <c r="AI97" s="633"/>
      <c r="AJ97" s="633"/>
      <c r="AK97" s="633"/>
      <c r="AL97" s="633"/>
    </row>
    <row r="98" spans="1:38" ht="11.1" customHeight="1" x14ac:dyDescent="0.25">
      <c r="A98" s="630" t="s">
        <v>3413</v>
      </c>
      <c r="B98" s="630"/>
      <c r="C98" s="630"/>
      <c r="K98" s="630" t="s">
        <v>405</v>
      </c>
      <c r="L98" s="630"/>
      <c r="M98" s="630"/>
      <c r="N98" s="630"/>
      <c r="O98" s="630"/>
      <c r="P98" s="630"/>
      <c r="Q98" s="627">
        <v>7837741.8200000003</v>
      </c>
      <c r="R98" s="627"/>
      <c r="T98" s="631">
        <v>11002878.119999999</v>
      </c>
      <c r="U98" s="631"/>
      <c r="V98" s="631"/>
      <c r="Y98" s="631">
        <v>11614809.279999999</v>
      </c>
      <c r="Z98" s="631"/>
      <c r="AA98" s="631"/>
      <c r="AB98" s="631"/>
      <c r="AC98" s="631"/>
      <c r="AD98" s="631"/>
      <c r="AF98" s="627">
        <v>7225810.6600000001</v>
      </c>
      <c r="AG98" s="627"/>
      <c r="AH98" s="627"/>
      <c r="AI98" s="627"/>
      <c r="AJ98" s="627"/>
      <c r="AK98" s="627"/>
      <c r="AL98" s="627"/>
    </row>
    <row r="99" spans="1:38" ht="11.1" customHeight="1" x14ac:dyDescent="0.25">
      <c r="A99" s="630" t="s">
        <v>3414</v>
      </c>
      <c r="B99" s="630"/>
      <c r="C99" s="630"/>
      <c r="L99" s="630" t="s">
        <v>405</v>
      </c>
      <c r="M99" s="630"/>
      <c r="N99" s="630"/>
      <c r="O99" s="630"/>
      <c r="P99" s="630"/>
      <c r="Q99" s="627">
        <v>4032785.26</v>
      </c>
      <c r="R99" s="627"/>
      <c r="T99" s="631">
        <v>8300245.7300000004</v>
      </c>
      <c r="U99" s="631"/>
      <c r="V99" s="631"/>
      <c r="Y99" s="631">
        <v>7809852.7199999997</v>
      </c>
      <c r="Z99" s="631"/>
      <c r="AA99" s="631"/>
      <c r="AB99" s="631"/>
      <c r="AC99" s="631"/>
      <c r="AD99" s="631"/>
      <c r="AF99" s="627">
        <v>4523178.2699999996</v>
      </c>
      <c r="AG99" s="627"/>
      <c r="AH99" s="627"/>
      <c r="AI99" s="627"/>
      <c r="AJ99" s="627"/>
      <c r="AK99" s="627"/>
      <c r="AL99" s="627"/>
    </row>
    <row r="100" spans="1:38" ht="11.1" customHeight="1" x14ac:dyDescent="0.25">
      <c r="A100" s="630" t="s">
        <v>3415</v>
      </c>
      <c r="B100" s="630"/>
      <c r="C100" s="630"/>
      <c r="M100" s="630" t="s">
        <v>408</v>
      </c>
      <c r="N100" s="630"/>
      <c r="O100" s="630"/>
      <c r="P100" s="630"/>
      <c r="Q100" s="627">
        <v>4032785.26</v>
      </c>
      <c r="R100" s="627"/>
      <c r="T100" s="631">
        <v>8300245.7300000004</v>
      </c>
      <c r="U100" s="631"/>
      <c r="V100" s="631"/>
      <c r="Y100" s="631">
        <v>7809852.7199999997</v>
      </c>
      <c r="Z100" s="631"/>
      <c r="AA100" s="631"/>
      <c r="AB100" s="631"/>
      <c r="AC100" s="631"/>
      <c r="AD100" s="631"/>
      <c r="AF100" s="627">
        <v>4523178.2699999996</v>
      </c>
      <c r="AG100" s="627"/>
      <c r="AH100" s="627"/>
      <c r="AI100" s="627"/>
      <c r="AJ100" s="627"/>
      <c r="AK100" s="627"/>
      <c r="AL100" s="627"/>
    </row>
    <row r="101" spans="1:38" ht="11.1" customHeight="1" x14ac:dyDescent="0.25">
      <c r="A101" s="630" t="s">
        <v>3416</v>
      </c>
      <c r="B101" s="630"/>
      <c r="C101" s="630"/>
      <c r="L101" s="630" t="s">
        <v>2359</v>
      </c>
      <c r="M101" s="630"/>
      <c r="N101" s="630"/>
      <c r="O101" s="630"/>
      <c r="P101" s="630"/>
      <c r="Q101" s="627">
        <v>3804956.56</v>
      </c>
      <c r="R101" s="627"/>
      <c r="T101" s="631">
        <v>2702632.39</v>
      </c>
      <c r="U101" s="631"/>
      <c r="V101" s="631"/>
      <c r="Y101" s="631">
        <v>3804956.56</v>
      </c>
      <c r="Z101" s="631"/>
      <c r="AA101" s="631"/>
      <c r="AB101" s="631"/>
      <c r="AC101" s="631"/>
      <c r="AD101" s="631"/>
      <c r="AF101" s="627">
        <v>2702632.39</v>
      </c>
      <c r="AG101" s="627"/>
      <c r="AH101" s="627"/>
      <c r="AI101" s="627"/>
      <c r="AJ101" s="627"/>
      <c r="AK101" s="627"/>
      <c r="AL101" s="627"/>
    </row>
    <row r="102" spans="1:38" ht="11.1" customHeight="1" x14ac:dyDescent="0.25">
      <c r="A102" s="630" t="s">
        <v>3417</v>
      </c>
      <c r="B102" s="630"/>
      <c r="C102" s="630"/>
      <c r="M102" s="630" t="s">
        <v>409</v>
      </c>
      <c r="N102" s="630"/>
      <c r="O102" s="630"/>
      <c r="P102" s="630"/>
      <c r="Q102" s="627">
        <v>869936.76</v>
      </c>
      <c r="R102" s="627"/>
      <c r="T102" s="631">
        <v>893662.31</v>
      </c>
      <c r="U102" s="631"/>
      <c r="V102" s="631"/>
      <c r="Y102" s="631">
        <v>869936.76</v>
      </c>
      <c r="Z102" s="631"/>
      <c r="AA102" s="631"/>
      <c r="AB102" s="631"/>
      <c r="AC102" s="631"/>
      <c r="AD102" s="631"/>
      <c r="AF102" s="627">
        <v>893662.31</v>
      </c>
      <c r="AG102" s="627"/>
      <c r="AH102" s="627"/>
      <c r="AI102" s="627"/>
      <c r="AJ102" s="627"/>
      <c r="AK102" s="627"/>
      <c r="AL102" s="627"/>
    </row>
    <row r="103" spans="1:38" ht="11.1" customHeight="1" x14ac:dyDescent="0.25">
      <c r="A103" s="630" t="s">
        <v>3418</v>
      </c>
      <c r="B103" s="630"/>
      <c r="C103" s="630"/>
      <c r="M103" s="630" t="s">
        <v>2260</v>
      </c>
      <c r="N103" s="630"/>
      <c r="O103" s="630"/>
      <c r="P103" s="630"/>
      <c r="Q103" s="627">
        <v>116749.91</v>
      </c>
      <c r="R103" s="627"/>
      <c r="T103" s="631">
        <v>120537.65</v>
      </c>
      <c r="U103" s="631"/>
      <c r="V103" s="631"/>
      <c r="Y103" s="631">
        <v>116749.91</v>
      </c>
      <c r="Z103" s="631"/>
      <c r="AA103" s="631"/>
      <c r="AB103" s="631"/>
      <c r="AC103" s="631"/>
      <c r="AD103" s="631"/>
      <c r="AF103" s="627">
        <v>120537.65</v>
      </c>
      <c r="AG103" s="627"/>
      <c r="AH103" s="627"/>
      <c r="AI103" s="627"/>
      <c r="AJ103" s="627"/>
      <c r="AK103" s="627"/>
      <c r="AL103" s="627"/>
    </row>
    <row r="104" spans="1:38" ht="11.1" customHeight="1" x14ac:dyDescent="0.25">
      <c r="A104" s="630" t="s">
        <v>3419</v>
      </c>
      <c r="B104" s="630"/>
      <c r="C104" s="630"/>
      <c r="M104" s="630" t="s">
        <v>2760</v>
      </c>
      <c r="N104" s="630"/>
      <c r="O104" s="630"/>
      <c r="P104" s="630"/>
      <c r="Q104" s="627">
        <v>131246.39999999999</v>
      </c>
      <c r="R104" s="627"/>
      <c r="T104" s="631">
        <v>94335.21</v>
      </c>
      <c r="U104" s="631"/>
      <c r="V104" s="631"/>
      <c r="Y104" s="631">
        <v>131246.39999999999</v>
      </c>
      <c r="Z104" s="631"/>
      <c r="AA104" s="631"/>
      <c r="AB104" s="631"/>
      <c r="AC104" s="631"/>
      <c r="AD104" s="631"/>
      <c r="AF104" s="627">
        <v>94335.21</v>
      </c>
      <c r="AG104" s="627"/>
      <c r="AH104" s="627"/>
      <c r="AI104" s="627"/>
      <c r="AJ104" s="627"/>
      <c r="AK104" s="627"/>
      <c r="AL104" s="627"/>
    </row>
    <row r="105" spans="1:38" ht="11.1" customHeight="1" x14ac:dyDescent="0.25">
      <c r="A105" s="630" t="s">
        <v>3420</v>
      </c>
      <c r="B105" s="630"/>
      <c r="C105" s="630"/>
      <c r="M105" s="630" t="s">
        <v>2780</v>
      </c>
      <c r="N105" s="630"/>
      <c r="O105" s="630"/>
      <c r="P105" s="630"/>
      <c r="Q105" s="627">
        <v>337743.44</v>
      </c>
      <c r="R105" s="627"/>
      <c r="T105" s="631">
        <v>287287.86</v>
      </c>
      <c r="U105" s="631"/>
      <c r="V105" s="631"/>
      <c r="Y105" s="631">
        <v>337743.44</v>
      </c>
      <c r="Z105" s="631"/>
      <c r="AA105" s="631"/>
      <c r="AB105" s="631"/>
      <c r="AC105" s="631"/>
      <c r="AD105" s="631"/>
      <c r="AF105" s="627">
        <v>287287.86</v>
      </c>
      <c r="AG105" s="627"/>
      <c r="AH105" s="627"/>
      <c r="AI105" s="627"/>
      <c r="AJ105" s="627"/>
      <c r="AK105" s="627"/>
      <c r="AL105" s="627"/>
    </row>
    <row r="106" spans="1:38" ht="11.1" customHeight="1" x14ac:dyDescent="0.25">
      <c r="A106" s="630" t="s">
        <v>3421</v>
      </c>
      <c r="B106" s="630"/>
      <c r="C106" s="630"/>
      <c r="M106" s="630" t="s">
        <v>2782</v>
      </c>
      <c r="N106" s="630"/>
      <c r="O106" s="630"/>
      <c r="P106" s="630"/>
      <c r="Q106" s="627">
        <v>342208.05</v>
      </c>
      <c r="R106" s="627"/>
      <c r="T106" s="631">
        <v>350620.56</v>
      </c>
      <c r="U106" s="631"/>
      <c r="V106" s="631"/>
      <c r="Y106" s="631">
        <v>342208.05</v>
      </c>
      <c r="Z106" s="631"/>
      <c r="AA106" s="631"/>
      <c r="AB106" s="631"/>
      <c r="AC106" s="631"/>
      <c r="AD106" s="631"/>
      <c r="AF106" s="627">
        <v>350620.56</v>
      </c>
      <c r="AG106" s="627"/>
      <c r="AH106" s="627"/>
      <c r="AI106" s="627"/>
      <c r="AJ106" s="627"/>
      <c r="AK106" s="627"/>
      <c r="AL106" s="627"/>
    </row>
    <row r="107" spans="1:38" ht="11.1" customHeight="1" x14ac:dyDescent="0.25">
      <c r="A107" s="630" t="s">
        <v>3422</v>
      </c>
      <c r="B107" s="630"/>
      <c r="C107" s="630"/>
      <c r="M107" s="630" t="s">
        <v>2263</v>
      </c>
      <c r="N107" s="630"/>
      <c r="O107" s="630"/>
      <c r="P107" s="630"/>
      <c r="Q107" s="627">
        <v>925344</v>
      </c>
      <c r="R107" s="627"/>
      <c r="T107" s="631">
        <v>956188.8</v>
      </c>
      <c r="U107" s="631"/>
      <c r="V107" s="631"/>
      <c r="Y107" s="631">
        <v>925344</v>
      </c>
      <c r="Z107" s="631"/>
      <c r="AA107" s="631"/>
      <c r="AB107" s="631"/>
      <c r="AC107" s="631"/>
      <c r="AD107" s="631"/>
      <c r="AF107" s="627">
        <v>956188.8</v>
      </c>
      <c r="AG107" s="627"/>
      <c r="AH107" s="627"/>
      <c r="AI107" s="627"/>
      <c r="AJ107" s="627"/>
      <c r="AK107" s="627"/>
      <c r="AL107" s="627"/>
    </row>
    <row r="108" spans="1:38" ht="11.1" customHeight="1" x14ac:dyDescent="0.25">
      <c r="A108" s="630" t="s">
        <v>3423</v>
      </c>
      <c r="B108" s="630"/>
      <c r="C108" s="630"/>
      <c r="M108" s="630" t="s">
        <v>2785</v>
      </c>
      <c r="N108" s="630"/>
      <c r="O108" s="630"/>
      <c r="P108" s="630"/>
      <c r="Q108" s="627">
        <v>1081728</v>
      </c>
      <c r="R108" s="627"/>
      <c r="T108" s="631">
        <v>0</v>
      </c>
      <c r="U108" s="631"/>
      <c r="V108" s="631"/>
      <c r="Y108" s="631">
        <v>1081728</v>
      </c>
      <c r="Z108" s="631"/>
      <c r="AA108" s="631"/>
      <c r="AB108" s="631"/>
      <c r="AC108" s="631"/>
      <c r="AD108" s="631"/>
      <c r="AF108" s="627">
        <v>0</v>
      </c>
      <c r="AG108" s="627"/>
      <c r="AH108" s="627"/>
      <c r="AI108" s="627"/>
      <c r="AJ108" s="627"/>
      <c r="AK108" s="627"/>
      <c r="AL108" s="627"/>
    </row>
    <row r="109" spans="1:38" ht="11.1" customHeight="1" x14ac:dyDescent="0.25">
      <c r="A109" s="632" t="s">
        <v>3424</v>
      </c>
      <c r="B109" s="632"/>
      <c r="C109" s="632"/>
      <c r="H109" s="632" t="s">
        <v>2413</v>
      </c>
      <c r="I109" s="632"/>
      <c r="J109" s="632"/>
      <c r="K109" s="632"/>
      <c r="L109" s="632"/>
      <c r="M109" s="632"/>
      <c r="N109" s="632"/>
      <c r="O109" s="632"/>
      <c r="P109" s="632"/>
      <c r="Q109" s="633">
        <v>870305.83</v>
      </c>
      <c r="R109" s="633"/>
      <c r="T109" s="634">
        <v>223262.07999999999</v>
      </c>
      <c r="U109" s="634"/>
      <c r="V109" s="634"/>
      <c r="Y109" s="634">
        <v>0</v>
      </c>
      <c r="Z109" s="634"/>
      <c r="AA109" s="634"/>
      <c r="AB109" s="634"/>
      <c r="AC109" s="634"/>
      <c r="AD109" s="634"/>
      <c r="AF109" s="633">
        <v>1093567.9099999999</v>
      </c>
      <c r="AG109" s="633"/>
      <c r="AH109" s="633"/>
      <c r="AI109" s="633"/>
      <c r="AJ109" s="633"/>
      <c r="AK109" s="633"/>
      <c r="AL109" s="633"/>
    </row>
    <row r="110" spans="1:38" ht="11.1" customHeight="1" x14ac:dyDescent="0.25">
      <c r="A110" s="632" t="s">
        <v>3425</v>
      </c>
      <c r="B110" s="632"/>
      <c r="C110" s="632"/>
      <c r="I110" s="632" t="s">
        <v>2415</v>
      </c>
      <c r="J110" s="632"/>
      <c r="K110" s="632"/>
      <c r="L110" s="632"/>
      <c r="M110" s="632"/>
      <c r="N110" s="632"/>
      <c r="O110" s="632"/>
      <c r="P110" s="632"/>
      <c r="Q110" s="633">
        <v>870305.83</v>
      </c>
      <c r="R110" s="633"/>
      <c r="T110" s="634">
        <v>5062.08</v>
      </c>
      <c r="U110" s="634"/>
      <c r="V110" s="634"/>
      <c r="Y110" s="634">
        <v>0</v>
      </c>
      <c r="Z110" s="634"/>
      <c r="AA110" s="634"/>
      <c r="AB110" s="634"/>
      <c r="AC110" s="634"/>
      <c r="AD110" s="634"/>
      <c r="AF110" s="633">
        <v>875367.91</v>
      </c>
      <c r="AG110" s="633"/>
      <c r="AH110" s="633"/>
      <c r="AI110" s="633"/>
      <c r="AJ110" s="633"/>
      <c r="AK110" s="633"/>
      <c r="AL110" s="633"/>
    </row>
    <row r="111" spans="1:38" ht="11.1" customHeight="1" x14ac:dyDescent="0.25">
      <c r="A111" s="632" t="s">
        <v>3426</v>
      </c>
      <c r="B111" s="632"/>
      <c r="C111" s="632"/>
      <c r="J111" s="632" t="s">
        <v>2417</v>
      </c>
      <c r="K111" s="632"/>
      <c r="L111" s="632"/>
      <c r="M111" s="632"/>
      <c r="N111" s="632"/>
      <c r="O111" s="632"/>
      <c r="P111" s="632"/>
      <c r="Q111" s="633">
        <v>870305.83</v>
      </c>
      <c r="R111" s="633"/>
      <c r="T111" s="634">
        <v>5062.08</v>
      </c>
      <c r="U111" s="634"/>
      <c r="V111" s="634"/>
      <c r="Y111" s="634">
        <v>0</v>
      </c>
      <c r="Z111" s="634"/>
      <c r="AA111" s="634"/>
      <c r="AB111" s="634"/>
      <c r="AC111" s="634"/>
      <c r="AD111" s="634"/>
      <c r="AF111" s="633">
        <v>875367.91</v>
      </c>
      <c r="AG111" s="633"/>
      <c r="AH111" s="633"/>
      <c r="AI111" s="633"/>
      <c r="AJ111" s="633"/>
      <c r="AK111" s="633"/>
      <c r="AL111" s="633"/>
    </row>
    <row r="112" spans="1:38" ht="11.1" customHeight="1" x14ac:dyDescent="0.25">
      <c r="A112" s="630" t="s">
        <v>3427</v>
      </c>
      <c r="B112" s="630"/>
      <c r="C112" s="630"/>
      <c r="M112" s="630" t="s">
        <v>2419</v>
      </c>
      <c r="N112" s="630"/>
      <c r="O112" s="630"/>
      <c r="P112" s="630"/>
      <c r="Q112" s="627">
        <v>870305.83</v>
      </c>
      <c r="R112" s="627"/>
      <c r="T112" s="631">
        <v>5062.08</v>
      </c>
      <c r="U112" s="631"/>
      <c r="V112" s="631"/>
      <c r="Y112" s="631">
        <v>0</v>
      </c>
      <c r="Z112" s="631"/>
      <c r="AA112" s="631"/>
      <c r="AB112" s="631"/>
      <c r="AC112" s="631"/>
      <c r="AD112" s="631"/>
      <c r="AF112" s="627">
        <v>875367.91</v>
      </c>
      <c r="AG112" s="627"/>
      <c r="AH112" s="627"/>
      <c r="AI112" s="627"/>
      <c r="AJ112" s="627"/>
      <c r="AK112" s="627"/>
      <c r="AL112" s="627"/>
    </row>
    <row r="113" spans="1:38" ht="11.1" customHeight="1" x14ac:dyDescent="0.25">
      <c r="A113" s="632" t="s">
        <v>3428</v>
      </c>
      <c r="B113" s="632"/>
      <c r="C113" s="632"/>
      <c r="I113" s="632" t="s">
        <v>331</v>
      </c>
      <c r="J113" s="632"/>
      <c r="K113" s="632"/>
      <c r="L113" s="632"/>
      <c r="M113" s="632"/>
      <c r="N113" s="632"/>
      <c r="O113" s="632"/>
      <c r="P113" s="632"/>
      <c r="Q113" s="633">
        <v>0</v>
      </c>
      <c r="R113" s="633"/>
      <c r="T113" s="634">
        <v>218200</v>
      </c>
      <c r="U113" s="634"/>
      <c r="V113" s="634"/>
      <c r="Y113" s="634">
        <v>0</v>
      </c>
      <c r="Z113" s="634"/>
      <c r="AA113" s="634"/>
      <c r="AB113" s="634"/>
      <c r="AC113" s="634"/>
      <c r="AD113" s="634"/>
      <c r="AF113" s="633">
        <v>218200</v>
      </c>
      <c r="AG113" s="633"/>
      <c r="AH113" s="633"/>
      <c r="AI113" s="633"/>
      <c r="AJ113" s="633"/>
      <c r="AK113" s="633"/>
      <c r="AL113" s="633"/>
    </row>
    <row r="114" spans="1:38" ht="11.1" customHeight="1" x14ac:dyDescent="0.25">
      <c r="A114" s="632" t="s">
        <v>3429</v>
      </c>
      <c r="B114" s="632"/>
      <c r="C114" s="632"/>
      <c r="J114" s="632" t="s">
        <v>331</v>
      </c>
      <c r="K114" s="632"/>
      <c r="L114" s="632"/>
      <c r="M114" s="632"/>
      <c r="N114" s="632"/>
      <c r="O114" s="632"/>
      <c r="P114" s="632"/>
      <c r="Q114" s="633">
        <v>0</v>
      </c>
      <c r="R114" s="633"/>
      <c r="T114" s="634">
        <v>218200</v>
      </c>
      <c r="U114" s="634"/>
      <c r="V114" s="634"/>
      <c r="Y114" s="634">
        <v>0</v>
      </c>
      <c r="Z114" s="634"/>
      <c r="AA114" s="634"/>
      <c r="AB114" s="634"/>
      <c r="AC114" s="634"/>
      <c r="AD114" s="634"/>
      <c r="AF114" s="633">
        <v>218200</v>
      </c>
      <c r="AG114" s="633"/>
      <c r="AH114" s="633"/>
      <c r="AI114" s="633"/>
      <c r="AJ114" s="633"/>
      <c r="AK114" s="633"/>
      <c r="AL114" s="633"/>
    </row>
    <row r="115" spans="1:38" ht="11.1" customHeight="1" x14ac:dyDescent="0.25">
      <c r="A115" s="630" t="s">
        <v>3430</v>
      </c>
      <c r="B115" s="630"/>
      <c r="C115" s="630"/>
      <c r="M115" s="630" t="s">
        <v>3431</v>
      </c>
      <c r="N115" s="630"/>
      <c r="O115" s="630"/>
      <c r="P115" s="630"/>
      <c r="Q115" s="627">
        <v>0</v>
      </c>
      <c r="R115" s="627"/>
      <c r="T115" s="631">
        <v>218200</v>
      </c>
      <c r="U115" s="631"/>
      <c r="V115" s="631"/>
      <c r="Y115" s="631">
        <v>0</v>
      </c>
      <c r="Z115" s="631"/>
      <c r="AA115" s="631"/>
      <c r="AB115" s="631"/>
      <c r="AC115" s="631"/>
      <c r="AD115" s="631"/>
      <c r="AF115" s="627">
        <v>218200</v>
      </c>
      <c r="AG115" s="627"/>
      <c r="AH115" s="627"/>
      <c r="AI115" s="627"/>
      <c r="AJ115" s="627"/>
      <c r="AK115" s="627"/>
      <c r="AL115" s="627"/>
    </row>
    <row r="116" spans="1:38" ht="11.1" customHeight="1" x14ac:dyDescent="0.25">
      <c r="A116" s="632" t="s">
        <v>3432</v>
      </c>
      <c r="B116" s="632"/>
      <c r="C116" s="632"/>
      <c r="H116" s="632" t="s">
        <v>411</v>
      </c>
      <c r="I116" s="632"/>
      <c r="J116" s="632"/>
      <c r="K116" s="632"/>
      <c r="L116" s="632"/>
      <c r="M116" s="632"/>
      <c r="N116" s="632"/>
      <c r="O116" s="632"/>
      <c r="P116" s="632"/>
      <c r="Q116" s="633">
        <v>8603223.5999999996</v>
      </c>
      <c r="R116" s="633"/>
      <c r="T116" s="634">
        <v>982761.77</v>
      </c>
      <c r="U116" s="634"/>
      <c r="V116" s="634"/>
      <c r="Y116" s="634">
        <v>6387786.3399999999</v>
      </c>
      <c r="Z116" s="634"/>
      <c r="AA116" s="634"/>
      <c r="AB116" s="634"/>
      <c r="AC116" s="634"/>
      <c r="AD116" s="634"/>
      <c r="AF116" s="633">
        <v>3198199.03</v>
      </c>
      <c r="AG116" s="633"/>
      <c r="AH116" s="633"/>
      <c r="AI116" s="633"/>
      <c r="AJ116" s="633"/>
      <c r="AK116" s="633"/>
      <c r="AL116" s="633"/>
    </row>
    <row r="117" spans="1:38" ht="11.1" customHeight="1" x14ac:dyDescent="0.25">
      <c r="A117" s="632" t="s">
        <v>3433</v>
      </c>
      <c r="B117" s="632"/>
      <c r="C117" s="632"/>
      <c r="I117" s="632" t="s">
        <v>413</v>
      </c>
      <c r="J117" s="632"/>
      <c r="K117" s="632"/>
      <c r="L117" s="632"/>
      <c r="M117" s="632"/>
      <c r="N117" s="632"/>
      <c r="O117" s="632"/>
      <c r="P117" s="632"/>
      <c r="Q117" s="633">
        <v>8603223.5999999996</v>
      </c>
      <c r="R117" s="633"/>
      <c r="T117" s="634">
        <v>982761.77</v>
      </c>
      <c r="U117" s="634"/>
      <c r="V117" s="634"/>
      <c r="Y117" s="634">
        <v>6387786.3399999999</v>
      </c>
      <c r="Z117" s="634"/>
      <c r="AA117" s="634"/>
      <c r="AB117" s="634"/>
      <c r="AC117" s="634"/>
      <c r="AD117" s="634"/>
      <c r="AF117" s="633">
        <v>3198199.03</v>
      </c>
      <c r="AG117" s="633"/>
      <c r="AH117" s="633"/>
      <c r="AI117" s="633"/>
      <c r="AJ117" s="633"/>
      <c r="AK117" s="633"/>
      <c r="AL117" s="633"/>
    </row>
    <row r="118" spans="1:38" ht="11.1" customHeight="1" x14ac:dyDescent="0.25">
      <c r="A118" s="632" t="s">
        <v>3434</v>
      </c>
      <c r="B118" s="632"/>
      <c r="C118" s="632"/>
      <c r="J118" s="632" t="s">
        <v>415</v>
      </c>
      <c r="K118" s="632"/>
      <c r="L118" s="632"/>
      <c r="M118" s="632"/>
      <c r="N118" s="632"/>
      <c r="O118" s="632"/>
      <c r="P118" s="632"/>
      <c r="Q118" s="633">
        <v>3907555.64</v>
      </c>
      <c r="R118" s="633"/>
      <c r="T118" s="634">
        <v>820374.59</v>
      </c>
      <c r="U118" s="634"/>
      <c r="V118" s="634"/>
      <c r="Y118" s="634">
        <v>3320269.76</v>
      </c>
      <c r="Z118" s="634"/>
      <c r="AA118" s="634"/>
      <c r="AB118" s="634"/>
      <c r="AC118" s="634"/>
      <c r="AD118" s="634"/>
      <c r="AF118" s="633">
        <v>1407660.47</v>
      </c>
      <c r="AG118" s="633"/>
      <c r="AH118" s="633"/>
      <c r="AI118" s="633"/>
      <c r="AJ118" s="633"/>
      <c r="AK118" s="633"/>
      <c r="AL118" s="633"/>
    </row>
    <row r="119" spans="1:38" ht="11.1" customHeight="1" x14ac:dyDescent="0.25">
      <c r="A119" s="630" t="s">
        <v>3435</v>
      </c>
      <c r="B119" s="630"/>
      <c r="C119" s="630"/>
      <c r="K119" s="630" t="s">
        <v>415</v>
      </c>
      <c r="L119" s="630"/>
      <c r="M119" s="630"/>
      <c r="N119" s="630"/>
      <c r="O119" s="630"/>
      <c r="P119" s="630"/>
      <c r="Q119" s="627">
        <v>3907555.64</v>
      </c>
      <c r="R119" s="627"/>
      <c r="T119" s="631">
        <v>820374.59</v>
      </c>
      <c r="U119" s="631"/>
      <c r="V119" s="631"/>
      <c r="Y119" s="631">
        <v>3320269.76</v>
      </c>
      <c r="Z119" s="631"/>
      <c r="AA119" s="631"/>
      <c r="AB119" s="631"/>
      <c r="AC119" s="631"/>
      <c r="AD119" s="631"/>
      <c r="AF119" s="627">
        <v>1407660.47</v>
      </c>
      <c r="AG119" s="627"/>
      <c r="AH119" s="627"/>
      <c r="AI119" s="627"/>
      <c r="AJ119" s="627"/>
      <c r="AK119" s="627"/>
      <c r="AL119" s="627"/>
    </row>
    <row r="120" spans="1:38" ht="11.1" customHeight="1" x14ac:dyDescent="0.25">
      <c r="A120" s="630" t="s">
        <v>3436</v>
      </c>
      <c r="B120" s="630"/>
      <c r="C120" s="630"/>
      <c r="L120" s="630" t="s">
        <v>415</v>
      </c>
      <c r="M120" s="630"/>
      <c r="N120" s="630"/>
      <c r="O120" s="630"/>
      <c r="P120" s="630"/>
      <c r="Q120" s="627">
        <v>3907486.13</v>
      </c>
      <c r="R120" s="627"/>
      <c r="T120" s="631">
        <v>820374.59</v>
      </c>
      <c r="U120" s="631"/>
      <c r="V120" s="631"/>
      <c r="Y120" s="631">
        <v>3320269.76</v>
      </c>
      <c r="Z120" s="631"/>
      <c r="AA120" s="631"/>
      <c r="AB120" s="631"/>
      <c r="AC120" s="631"/>
      <c r="AD120" s="631"/>
      <c r="AF120" s="627">
        <v>1407590.96</v>
      </c>
      <c r="AG120" s="627"/>
      <c r="AH120" s="627"/>
      <c r="AI120" s="627"/>
      <c r="AJ120" s="627"/>
      <c r="AK120" s="627"/>
      <c r="AL120" s="627"/>
    </row>
    <row r="121" spans="1:38" ht="11.1" customHeight="1" x14ac:dyDescent="0.25">
      <c r="A121" s="630" t="s">
        <v>3437</v>
      </c>
      <c r="B121" s="630"/>
      <c r="C121" s="630"/>
      <c r="M121" s="630" t="s">
        <v>419</v>
      </c>
      <c r="N121" s="630"/>
      <c r="O121" s="630"/>
      <c r="P121" s="630"/>
      <c r="Q121" s="627">
        <v>3320269.76</v>
      </c>
      <c r="R121" s="627"/>
      <c r="T121" s="631">
        <v>0</v>
      </c>
      <c r="U121" s="631"/>
      <c r="V121" s="631"/>
      <c r="Y121" s="631">
        <v>3320269.76</v>
      </c>
      <c r="Z121" s="631"/>
      <c r="AA121" s="631"/>
      <c r="AB121" s="631"/>
      <c r="AC121" s="631"/>
      <c r="AD121" s="631"/>
      <c r="AF121" s="627">
        <v>0</v>
      </c>
      <c r="AG121" s="627"/>
      <c r="AH121" s="627"/>
      <c r="AI121" s="627"/>
      <c r="AJ121" s="627"/>
      <c r="AK121" s="627"/>
      <c r="AL121" s="627"/>
    </row>
    <row r="122" spans="1:38" ht="11.1" customHeight="1" x14ac:dyDescent="0.25">
      <c r="A122" s="630" t="s">
        <v>3438</v>
      </c>
      <c r="B122" s="630"/>
      <c r="C122" s="630"/>
      <c r="M122" s="630" t="s">
        <v>2787</v>
      </c>
      <c r="N122" s="630"/>
      <c r="O122" s="630"/>
      <c r="P122" s="630"/>
      <c r="Q122" s="627">
        <v>587216.37</v>
      </c>
      <c r="R122" s="627"/>
      <c r="T122" s="631">
        <v>18144.990000000002</v>
      </c>
      <c r="U122" s="631"/>
      <c r="V122" s="631"/>
      <c r="Y122" s="631">
        <v>0</v>
      </c>
      <c r="Z122" s="631"/>
      <c r="AA122" s="631"/>
      <c r="AB122" s="631"/>
      <c r="AC122" s="631"/>
      <c r="AD122" s="631"/>
      <c r="AF122" s="627">
        <v>605361.36</v>
      </c>
      <c r="AG122" s="627"/>
      <c r="AH122" s="627"/>
      <c r="AI122" s="627"/>
      <c r="AJ122" s="627"/>
      <c r="AK122" s="627"/>
      <c r="AL122" s="627"/>
    </row>
    <row r="123" spans="1:38" ht="11.1" customHeight="1" x14ac:dyDescent="0.25">
      <c r="A123" s="630" t="s">
        <v>3439</v>
      </c>
      <c r="B123" s="630"/>
      <c r="C123" s="630"/>
      <c r="M123" s="630" t="s">
        <v>2789</v>
      </c>
      <c r="N123" s="630"/>
      <c r="O123" s="630"/>
      <c r="P123" s="630"/>
      <c r="Q123" s="627">
        <v>0</v>
      </c>
      <c r="R123" s="627"/>
      <c r="T123" s="631">
        <v>802229.6</v>
      </c>
      <c r="U123" s="631"/>
      <c r="V123" s="631"/>
      <c r="Y123" s="631">
        <v>0</v>
      </c>
      <c r="Z123" s="631"/>
      <c r="AA123" s="631"/>
      <c r="AB123" s="631"/>
      <c r="AC123" s="631"/>
      <c r="AD123" s="631"/>
      <c r="AF123" s="627">
        <v>802229.6</v>
      </c>
      <c r="AG123" s="627"/>
      <c r="AH123" s="627"/>
      <c r="AI123" s="627"/>
      <c r="AJ123" s="627"/>
      <c r="AK123" s="627"/>
      <c r="AL123" s="627"/>
    </row>
    <row r="124" spans="1:38" ht="11.1" customHeight="1" x14ac:dyDescent="0.25">
      <c r="A124" s="630" t="s">
        <v>3440</v>
      </c>
      <c r="B124" s="630"/>
      <c r="C124" s="630"/>
      <c r="L124" s="630" t="s">
        <v>302</v>
      </c>
      <c r="M124" s="630"/>
      <c r="N124" s="630"/>
      <c r="O124" s="630"/>
      <c r="P124" s="630"/>
      <c r="Q124" s="627">
        <v>69.510000000000005</v>
      </c>
      <c r="R124" s="627"/>
      <c r="T124" s="631">
        <v>0</v>
      </c>
      <c r="U124" s="631"/>
      <c r="V124" s="631"/>
      <c r="Y124" s="631">
        <v>0</v>
      </c>
      <c r="Z124" s="631"/>
      <c r="AA124" s="631"/>
      <c r="AB124" s="631"/>
      <c r="AC124" s="631"/>
      <c r="AD124" s="631"/>
      <c r="AF124" s="627">
        <v>69.510000000000005</v>
      </c>
      <c r="AG124" s="627"/>
      <c r="AH124" s="627"/>
      <c r="AI124" s="627"/>
      <c r="AJ124" s="627"/>
      <c r="AK124" s="627"/>
      <c r="AL124" s="627"/>
    </row>
    <row r="125" spans="1:38" ht="11.1" customHeight="1" x14ac:dyDescent="0.25">
      <c r="A125" s="630" t="s">
        <v>3441</v>
      </c>
      <c r="B125" s="630"/>
      <c r="C125" s="630"/>
      <c r="M125" s="630" t="s">
        <v>2422</v>
      </c>
      <c r="N125" s="630"/>
      <c r="O125" s="630"/>
      <c r="P125" s="630"/>
      <c r="Q125" s="627">
        <v>69.510000000000005</v>
      </c>
      <c r="R125" s="627"/>
      <c r="T125" s="631">
        <v>0</v>
      </c>
      <c r="U125" s="631"/>
      <c r="V125" s="631"/>
      <c r="Y125" s="631">
        <v>0</v>
      </c>
      <c r="Z125" s="631"/>
      <c r="AA125" s="631"/>
      <c r="AB125" s="631"/>
      <c r="AC125" s="631"/>
      <c r="AD125" s="631"/>
      <c r="AF125" s="627">
        <v>69.510000000000005</v>
      </c>
      <c r="AG125" s="627"/>
      <c r="AH125" s="627"/>
      <c r="AI125" s="627"/>
      <c r="AJ125" s="627"/>
      <c r="AK125" s="627"/>
      <c r="AL125" s="627"/>
    </row>
    <row r="126" spans="1:38" ht="11.1" customHeight="1" x14ac:dyDescent="0.25">
      <c r="A126" s="632" t="s">
        <v>3442</v>
      </c>
      <c r="B126" s="632"/>
      <c r="C126" s="632"/>
      <c r="J126" s="632" t="s">
        <v>421</v>
      </c>
      <c r="K126" s="632"/>
      <c r="L126" s="632"/>
      <c r="M126" s="632"/>
      <c r="N126" s="632"/>
      <c r="O126" s="632"/>
      <c r="P126" s="632"/>
      <c r="Q126" s="633">
        <v>1550416</v>
      </c>
      <c r="R126" s="633"/>
      <c r="T126" s="634">
        <v>92597.63</v>
      </c>
      <c r="U126" s="634"/>
      <c r="V126" s="634"/>
      <c r="Y126" s="634">
        <v>1550562.93</v>
      </c>
      <c r="Z126" s="634"/>
      <c r="AA126" s="634"/>
      <c r="AB126" s="634"/>
      <c r="AC126" s="634"/>
      <c r="AD126" s="634"/>
      <c r="AF126" s="633">
        <v>92450.7</v>
      </c>
      <c r="AG126" s="633"/>
      <c r="AH126" s="633"/>
      <c r="AI126" s="633"/>
      <c r="AJ126" s="633"/>
      <c r="AK126" s="633"/>
      <c r="AL126" s="633"/>
    </row>
    <row r="127" spans="1:38" ht="11.1" customHeight="1" x14ac:dyDescent="0.25">
      <c r="A127" s="630" t="s">
        <v>3443</v>
      </c>
      <c r="B127" s="630"/>
      <c r="C127" s="630"/>
      <c r="K127" s="630" t="s">
        <v>421</v>
      </c>
      <c r="L127" s="630"/>
      <c r="M127" s="630"/>
      <c r="N127" s="630"/>
      <c r="O127" s="630"/>
      <c r="P127" s="630"/>
      <c r="Q127" s="627">
        <v>1550416</v>
      </c>
      <c r="R127" s="627"/>
      <c r="T127" s="631">
        <v>92597.63</v>
      </c>
      <c r="U127" s="631"/>
      <c r="V127" s="631"/>
      <c r="Y127" s="631">
        <v>1550562.93</v>
      </c>
      <c r="Z127" s="631"/>
      <c r="AA127" s="631"/>
      <c r="AB127" s="631"/>
      <c r="AC127" s="631"/>
      <c r="AD127" s="631"/>
      <c r="AF127" s="627">
        <v>92450.7</v>
      </c>
      <c r="AG127" s="627"/>
      <c r="AH127" s="627"/>
      <c r="AI127" s="627"/>
      <c r="AJ127" s="627"/>
      <c r="AK127" s="627"/>
      <c r="AL127" s="627"/>
    </row>
    <row r="128" spans="1:38" ht="11.1" customHeight="1" x14ac:dyDescent="0.25">
      <c r="A128" s="630" t="s">
        <v>3444</v>
      </c>
      <c r="B128" s="630"/>
      <c r="C128" s="630"/>
      <c r="L128" s="630" t="s">
        <v>421</v>
      </c>
      <c r="M128" s="630"/>
      <c r="N128" s="630"/>
      <c r="O128" s="630"/>
      <c r="P128" s="630"/>
      <c r="Q128" s="627">
        <v>1550416</v>
      </c>
      <c r="R128" s="627"/>
      <c r="T128" s="631">
        <v>92597.63</v>
      </c>
      <c r="U128" s="631"/>
      <c r="V128" s="631"/>
      <c r="Y128" s="631">
        <v>1550562.93</v>
      </c>
      <c r="Z128" s="631"/>
      <c r="AA128" s="631"/>
      <c r="AB128" s="631"/>
      <c r="AC128" s="631"/>
      <c r="AD128" s="631"/>
      <c r="AF128" s="627">
        <v>92450.7</v>
      </c>
      <c r="AG128" s="627"/>
      <c r="AH128" s="627"/>
      <c r="AI128" s="627"/>
      <c r="AJ128" s="627"/>
      <c r="AK128" s="627"/>
      <c r="AL128" s="627"/>
    </row>
    <row r="129" spans="1:38" ht="11.1" customHeight="1" x14ac:dyDescent="0.25">
      <c r="A129" s="630" t="s">
        <v>3445</v>
      </c>
      <c r="B129" s="630"/>
      <c r="C129" s="630"/>
      <c r="M129" s="630" t="s">
        <v>425</v>
      </c>
      <c r="N129" s="630"/>
      <c r="O129" s="630"/>
      <c r="P129" s="630"/>
      <c r="Q129" s="627">
        <v>1549260.55</v>
      </c>
      <c r="R129" s="627"/>
      <c r="T129" s="631">
        <v>0</v>
      </c>
      <c r="U129" s="631"/>
      <c r="V129" s="631"/>
      <c r="Y129" s="631">
        <v>1549260.55</v>
      </c>
      <c r="Z129" s="631"/>
      <c r="AA129" s="631"/>
      <c r="AB129" s="631"/>
      <c r="AC129" s="631"/>
      <c r="AD129" s="631"/>
      <c r="AF129" s="627">
        <v>0</v>
      </c>
      <c r="AG129" s="627"/>
      <c r="AH129" s="627"/>
      <c r="AI129" s="627"/>
      <c r="AJ129" s="627"/>
      <c r="AK129" s="627"/>
      <c r="AL129" s="627"/>
    </row>
    <row r="130" spans="1:38" ht="11.1" customHeight="1" x14ac:dyDescent="0.25">
      <c r="A130" s="630" t="s">
        <v>3446</v>
      </c>
      <c r="B130" s="630"/>
      <c r="C130" s="630"/>
      <c r="M130" s="630" t="s">
        <v>427</v>
      </c>
      <c r="N130" s="630"/>
      <c r="O130" s="630"/>
      <c r="P130" s="630"/>
      <c r="Q130" s="627">
        <v>1155.45</v>
      </c>
      <c r="R130" s="627"/>
      <c r="T130" s="631">
        <v>146.93</v>
      </c>
      <c r="U130" s="631"/>
      <c r="V130" s="631"/>
      <c r="Y130" s="631">
        <v>1302.3800000000001</v>
      </c>
      <c r="Z130" s="631"/>
      <c r="AA130" s="631"/>
      <c r="AB130" s="631"/>
      <c r="AC130" s="631"/>
      <c r="AD130" s="631"/>
      <c r="AF130" s="627">
        <v>0</v>
      </c>
      <c r="AG130" s="627"/>
      <c r="AH130" s="627"/>
      <c r="AI130" s="627"/>
      <c r="AJ130" s="627"/>
      <c r="AK130" s="627"/>
      <c r="AL130" s="627"/>
    </row>
    <row r="131" spans="1:38" ht="11.1" customHeight="1" x14ac:dyDescent="0.25">
      <c r="A131" s="630" t="s">
        <v>3447</v>
      </c>
      <c r="B131" s="630"/>
      <c r="C131" s="630"/>
      <c r="M131" s="630" t="s">
        <v>2791</v>
      </c>
      <c r="N131" s="630"/>
      <c r="O131" s="630"/>
      <c r="P131" s="630"/>
      <c r="Q131" s="627">
        <v>0</v>
      </c>
      <c r="R131" s="627"/>
      <c r="T131" s="631">
        <v>92450.7</v>
      </c>
      <c r="U131" s="631"/>
      <c r="V131" s="631"/>
      <c r="Y131" s="631">
        <v>0</v>
      </c>
      <c r="Z131" s="631"/>
      <c r="AA131" s="631"/>
      <c r="AB131" s="631"/>
      <c r="AC131" s="631"/>
      <c r="AD131" s="631"/>
      <c r="AF131" s="627">
        <v>92450.7</v>
      </c>
      <c r="AG131" s="627"/>
      <c r="AH131" s="627"/>
      <c r="AI131" s="627"/>
      <c r="AJ131" s="627"/>
      <c r="AK131" s="627"/>
      <c r="AL131" s="627"/>
    </row>
    <row r="132" spans="1:38" ht="11.1" customHeight="1" x14ac:dyDescent="0.25">
      <c r="A132" s="632" t="s">
        <v>3448</v>
      </c>
      <c r="B132" s="632"/>
      <c r="C132" s="632"/>
      <c r="J132" s="632" t="s">
        <v>429</v>
      </c>
      <c r="K132" s="632"/>
      <c r="L132" s="632"/>
      <c r="M132" s="632"/>
      <c r="N132" s="632"/>
      <c r="O132" s="632"/>
      <c r="P132" s="632"/>
      <c r="Q132" s="633">
        <v>3129804.23</v>
      </c>
      <c r="R132" s="633"/>
      <c r="T132" s="634">
        <v>68918.33</v>
      </c>
      <c r="U132" s="634"/>
      <c r="V132" s="634"/>
      <c r="Y132" s="634">
        <v>1514807.4</v>
      </c>
      <c r="Z132" s="634"/>
      <c r="AA132" s="634"/>
      <c r="AB132" s="634"/>
      <c r="AC132" s="634"/>
      <c r="AD132" s="634"/>
      <c r="AF132" s="633">
        <v>1683915.16</v>
      </c>
      <c r="AG132" s="633"/>
      <c r="AH132" s="633"/>
      <c r="AI132" s="633"/>
      <c r="AJ132" s="633"/>
      <c r="AK132" s="633"/>
      <c r="AL132" s="633"/>
    </row>
    <row r="133" spans="1:38" ht="11.1" customHeight="1" x14ac:dyDescent="0.25">
      <c r="A133" s="630" t="s">
        <v>3449</v>
      </c>
      <c r="B133" s="630"/>
      <c r="C133" s="630"/>
      <c r="K133" s="630" t="s">
        <v>429</v>
      </c>
      <c r="L133" s="630"/>
      <c r="M133" s="630"/>
      <c r="N133" s="630"/>
      <c r="O133" s="630"/>
      <c r="P133" s="630"/>
      <c r="Q133" s="627">
        <v>3129804.23</v>
      </c>
      <c r="R133" s="627"/>
      <c r="T133" s="631">
        <v>68918.33</v>
      </c>
      <c r="U133" s="631"/>
      <c r="V133" s="631"/>
      <c r="Y133" s="631">
        <v>1514807.4</v>
      </c>
      <c r="Z133" s="631"/>
      <c r="AA133" s="631"/>
      <c r="AB133" s="631"/>
      <c r="AC133" s="631"/>
      <c r="AD133" s="631"/>
      <c r="AF133" s="627">
        <v>1683915.16</v>
      </c>
      <c r="AG133" s="627"/>
      <c r="AH133" s="627"/>
      <c r="AI133" s="627"/>
      <c r="AJ133" s="627"/>
      <c r="AK133" s="627"/>
      <c r="AL133" s="627"/>
    </row>
    <row r="134" spans="1:38" ht="11.1" customHeight="1" x14ac:dyDescent="0.25">
      <c r="A134" s="630" t="s">
        <v>3450</v>
      </c>
      <c r="B134" s="630"/>
      <c r="C134" s="630"/>
      <c r="L134" s="630" t="s">
        <v>429</v>
      </c>
      <c r="M134" s="630"/>
      <c r="N134" s="630"/>
      <c r="O134" s="630"/>
      <c r="P134" s="630"/>
      <c r="Q134" s="627">
        <v>3126862.96</v>
      </c>
      <c r="R134" s="627"/>
      <c r="T134" s="631">
        <v>68893.850000000006</v>
      </c>
      <c r="U134" s="631"/>
      <c r="V134" s="631"/>
      <c r="Y134" s="631">
        <v>1514807.4</v>
      </c>
      <c r="Z134" s="631"/>
      <c r="AA134" s="631"/>
      <c r="AB134" s="631"/>
      <c r="AC134" s="631"/>
      <c r="AD134" s="631"/>
      <c r="AF134" s="627">
        <v>1680949.41</v>
      </c>
      <c r="AG134" s="627"/>
      <c r="AH134" s="627"/>
      <c r="AI134" s="627"/>
      <c r="AJ134" s="627"/>
      <c r="AK134" s="627"/>
      <c r="AL134" s="627"/>
    </row>
    <row r="135" spans="1:38" ht="11.1" customHeight="1" x14ac:dyDescent="0.25">
      <c r="A135" s="630" t="s">
        <v>3451</v>
      </c>
      <c r="B135" s="630"/>
      <c r="C135" s="630"/>
      <c r="M135" s="630" t="s">
        <v>433</v>
      </c>
      <c r="N135" s="630"/>
      <c r="O135" s="630"/>
      <c r="P135" s="630"/>
      <c r="Q135" s="627">
        <v>661407.62</v>
      </c>
      <c r="R135" s="627"/>
      <c r="T135" s="631">
        <v>14899.58</v>
      </c>
      <c r="U135" s="631"/>
      <c r="V135" s="631"/>
      <c r="Y135" s="631">
        <v>676307.2</v>
      </c>
      <c r="Z135" s="631"/>
      <c r="AA135" s="631"/>
      <c r="AB135" s="631"/>
      <c r="AC135" s="631"/>
      <c r="AD135" s="631"/>
      <c r="AF135" s="627">
        <v>0</v>
      </c>
      <c r="AG135" s="627"/>
      <c r="AH135" s="627"/>
      <c r="AI135" s="627"/>
      <c r="AJ135" s="627"/>
      <c r="AK135" s="627"/>
      <c r="AL135" s="627"/>
    </row>
    <row r="136" spans="1:38" ht="11.1" customHeight="1" x14ac:dyDescent="0.25">
      <c r="A136" s="630" t="s">
        <v>3452</v>
      </c>
      <c r="B136" s="630"/>
      <c r="C136" s="630"/>
      <c r="M136" s="630" t="s">
        <v>435</v>
      </c>
      <c r="N136" s="630"/>
      <c r="O136" s="630"/>
      <c r="P136" s="630"/>
      <c r="Q136" s="627">
        <v>72186.33</v>
      </c>
      <c r="R136" s="627"/>
      <c r="T136" s="631">
        <v>6101.53</v>
      </c>
      <c r="U136" s="631"/>
      <c r="V136" s="631"/>
      <c r="Y136" s="631">
        <v>78287.86</v>
      </c>
      <c r="Z136" s="631"/>
      <c r="AA136" s="631"/>
      <c r="AB136" s="631"/>
      <c r="AC136" s="631"/>
      <c r="AD136" s="631"/>
      <c r="AF136" s="627">
        <v>0</v>
      </c>
      <c r="AG136" s="627"/>
      <c r="AH136" s="627"/>
      <c r="AI136" s="627"/>
      <c r="AJ136" s="627"/>
      <c r="AK136" s="627"/>
      <c r="AL136" s="627"/>
    </row>
    <row r="137" spans="1:38" ht="11.1" customHeight="1" x14ac:dyDescent="0.25">
      <c r="A137" s="630" t="s">
        <v>3453</v>
      </c>
      <c r="B137" s="630"/>
      <c r="C137" s="630"/>
      <c r="M137" s="630" t="s">
        <v>2792</v>
      </c>
      <c r="N137" s="630"/>
      <c r="O137" s="630"/>
      <c r="P137" s="630"/>
      <c r="Q137" s="627">
        <v>1640248.22</v>
      </c>
      <c r="R137" s="627"/>
      <c r="T137" s="631">
        <v>47237</v>
      </c>
      <c r="U137" s="631"/>
      <c r="V137" s="631"/>
      <c r="Y137" s="631">
        <v>6535.81</v>
      </c>
      <c r="Z137" s="631"/>
      <c r="AA137" s="631"/>
      <c r="AB137" s="631"/>
      <c r="AC137" s="631"/>
      <c r="AD137" s="631"/>
      <c r="AF137" s="627">
        <v>1680949.41</v>
      </c>
      <c r="AG137" s="627"/>
      <c r="AH137" s="627"/>
      <c r="AI137" s="627"/>
      <c r="AJ137" s="627"/>
      <c r="AK137" s="627"/>
      <c r="AL137" s="627"/>
    </row>
    <row r="138" spans="1:38" ht="11.1" customHeight="1" x14ac:dyDescent="0.25">
      <c r="A138" s="630" t="s">
        <v>3454</v>
      </c>
      <c r="B138" s="630"/>
      <c r="C138" s="630"/>
      <c r="M138" s="630" t="s">
        <v>438</v>
      </c>
      <c r="N138" s="630"/>
      <c r="O138" s="630"/>
      <c r="P138" s="630"/>
      <c r="Q138" s="627">
        <v>747303.32</v>
      </c>
      <c r="R138" s="627"/>
      <c r="T138" s="631">
        <v>0</v>
      </c>
      <c r="U138" s="631"/>
      <c r="V138" s="631"/>
      <c r="Y138" s="631">
        <v>747303.32</v>
      </c>
      <c r="Z138" s="631"/>
      <c r="AA138" s="631"/>
      <c r="AB138" s="631"/>
      <c r="AC138" s="631"/>
      <c r="AD138" s="631"/>
      <c r="AF138" s="627">
        <v>0</v>
      </c>
      <c r="AG138" s="627"/>
      <c r="AH138" s="627"/>
      <c r="AI138" s="627"/>
      <c r="AJ138" s="627"/>
      <c r="AK138" s="627"/>
      <c r="AL138" s="627"/>
    </row>
    <row r="139" spans="1:38" ht="11.1" customHeight="1" x14ac:dyDescent="0.25">
      <c r="A139" s="630" t="s">
        <v>3455</v>
      </c>
      <c r="B139" s="630"/>
      <c r="C139" s="630"/>
      <c r="M139" s="630" t="s">
        <v>440</v>
      </c>
      <c r="N139" s="630"/>
      <c r="O139" s="630"/>
      <c r="P139" s="630"/>
      <c r="Q139" s="627">
        <v>1733.13</v>
      </c>
      <c r="R139" s="627"/>
      <c r="T139" s="631">
        <v>220.39</v>
      </c>
      <c r="U139" s="631"/>
      <c r="V139" s="631"/>
      <c r="Y139" s="631">
        <v>1953.52</v>
      </c>
      <c r="Z139" s="631"/>
      <c r="AA139" s="631"/>
      <c r="AB139" s="631"/>
      <c r="AC139" s="631"/>
      <c r="AD139" s="631"/>
      <c r="AF139" s="627">
        <v>0</v>
      </c>
      <c r="AG139" s="627"/>
      <c r="AH139" s="627"/>
      <c r="AI139" s="627"/>
      <c r="AJ139" s="627"/>
      <c r="AK139" s="627"/>
      <c r="AL139" s="627"/>
    </row>
    <row r="140" spans="1:38" ht="11.1" customHeight="1" x14ac:dyDescent="0.25">
      <c r="A140" s="630" t="s">
        <v>3456</v>
      </c>
      <c r="B140" s="630"/>
      <c r="C140" s="630"/>
      <c r="M140" s="630" t="s">
        <v>2794</v>
      </c>
      <c r="N140" s="630"/>
      <c r="O140" s="630"/>
      <c r="P140" s="630"/>
      <c r="Q140" s="627">
        <v>3984.34</v>
      </c>
      <c r="R140" s="627"/>
      <c r="T140" s="631">
        <v>435.35</v>
      </c>
      <c r="U140" s="631"/>
      <c r="V140" s="631"/>
      <c r="Y140" s="631">
        <v>4419.6899999999996</v>
      </c>
      <c r="Z140" s="631"/>
      <c r="AA140" s="631"/>
      <c r="AB140" s="631"/>
      <c r="AC140" s="631"/>
      <c r="AD140" s="631"/>
      <c r="AF140" s="627">
        <v>0</v>
      </c>
      <c r="AG140" s="627"/>
      <c r="AH140" s="627"/>
      <c r="AI140" s="627"/>
      <c r="AJ140" s="627"/>
      <c r="AK140" s="627"/>
      <c r="AL140" s="627"/>
    </row>
    <row r="141" spans="1:38" ht="11.1" customHeight="1" x14ac:dyDescent="0.25">
      <c r="A141" s="630" t="s">
        <v>3457</v>
      </c>
      <c r="B141" s="630"/>
      <c r="C141" s="630"/>
      <c r="L141" s="630" t="s">
        <v>302</v>
      </c>
      <c r="M141" s="630"/>
      <c r="N141" s="630"/>
      <c r="O141" s="630"/>
      <c r="P141" s="630"/>
      <c r="Q141" s="627">
        <v>2941.27</v>
      </c>
      <c r="R141" s="627"/>
      <c r="T141" s="631">
        <v>24.48</v>
      </c>
      <c r="U141" s="631"/>
      <c r="V141" s="631"/>
      <c r="Y141" s="631">
        <v>0</v>
      </c>
      <c r="Z141" s="631"/>
      <c r="AA141" s="631"/>
      <c r="AB141" s="631"/>
      <c r="AC141" s="631"/>
      <c r="AD141" s="631"/>
      <c r="AF141" s="627">
        <v>2965.75</v>
      </c>
      <c r="AG141" s="627"/>
      <c r="AH141" s="627"/>
      <c r="AI141" s="627"/>
      <c r="AJ141" s="627"/>
      <c r="AK141" s="627"/>
      <c r="AL141" s="627"/>
    </row>
    <row r="142" spans="1:38" ht="11.1" customHeight="1" x14ac:dyDescent="0.25">
      <c r="A142" s="630" t="s">
        <v>3458</v>
      </c>
      <c r="B142" s="630"/>
      <c r="C142" s="630"/>
      <c r="M142" s="630" t="s">
        <v>443</v>
      </c>
      <c r="N142" s="630"/>
      <c r="O142" s="630"/>
      <c r="P142" s="630"/>
      <c r="Q142" s="627">
        <v>2941.27</v>
      </c>
      <c r="R142" s="627"/>
      <c r="T142" s="631">
        <v>24.48</v>
      </c>
      <c r="U142" s="631"/>
      <c r="V142" s="631"/>
      <c r="Y142" s="631">
        <v>0</v>
      </c>
      <c r="Z142" s="631"/>
      <c r="AA142" s="631"/>
      <c r="AB142" s="631"/>
      <c r="AC142" s="631"/>
      <c r="AD142" s="631"/>
      <c r="AF142" s="627">
        <v>2965.75</v>
      </c>
      <c r="AG142" s="627"/>
      <c r="AH142" s="627"/>
      <c r="AI142" s="627"/>
      <c r="AJ142" s="627"/>
      <c r="AK142" s="627"/>
      <c r="AL142" s="627"/>
    </row>
    <row r="143" spans="1:38" ht="11.1" customHeight="1" x14ac:dyDescent="0.25">
      <c r="A143" s="632" t="s">
        <v>3459</v>
      </c>
      <c r="B143" s="632"/>
      <c r="C143" s="632"/>
      <c r="J143" s="632" t="s">
        <v>445</v>
      </c>
      <c r="K143" s="632"/>
      <c r="L143" s="632"/>
      <c r="M143" s="632"/>
      <c r="N143" s="632"/>
      <c r="O143" s="632"/>
      <c r="P143" s="632"/>
      <c r="Q143" s="633">
        <v>751</v>
      </c>
      <c r="R143" s="633"/>
      <c r="T143" s="634">
        <v>95.5</v>
      </c>
      <c r="U143" s="634"/>
      <c r="V143" s="634"/>
      <c r="Y143" s="634">
        <v>0</v>
      </c>
      <c r="Z143" s="634"/>
      <c r="AA143" s="634"/>
      <c r="AB143" s="634"/>
      <c r="AC143" s="634"/>
      <c r="AD143" s="634"/>
      <c r="AF143" s="633">
        <v>846.5</v>
      </c>
      <c r="AG143" s="633"/>
      <c r="AH143" s="633"/>
      <c r="AI143" s="633"/>
      <c r="AJ143" s="633"/>
      <c r="AK143" s="633"/>
      <c r="AL143" s="633"/>
    </row>
    <row r="144" spans="1:38" ht="11.1" customHeight="1" x14ac:dyDescent="0.25">
      <c r="A144" s="630" t="s">
        <v>3460</v>
      </c>
      <c r="B144" s="630"/>
      <c r="C144" s="630"/>
      <c r="K144" s="630" t="s">
        <v>445</v>
      </c>
      <c r="L144" s="630"/>
      <c r="M144" s="630"/>
      <c r="N144" s="630"/>
      <c r="O144" s="630"/>
      <c r="P144" s="630"/>
      <c r="Q144" s="627">
        <v>751</v>
      </c>
      <c r="R144" s="627"/>
      <c r="T144" s="631">
        <v>95.5</v>
      </c>
      <c r="U144" s="631"/>
      <c r="V144" s="631"/>
      <c r="Y144" s="631">
        <v>0</v>
      </c>
      <c r="Z144" s="631"/>
      <c r="AA144" s="631"/>
      <c r="AB144" s="631"/>
      <c r="AC144" s="631"/>
      <c r="AD144" s="631"/>
      <c r="AF144" s="627">
        <v>846.5</v>
      </c>
      <c r="AG144" s="627"/>
      <c r="AH144" s="627"/>
      <c r="AI144" s="627"/>
      <c r="AJ144" s="627"/>
      <c r="AK144" s="627"/>
      <c r="AL144" s="627"/>
    </row>
    <row r="145" spans="1:38" ht="11.1" customHeight="1" x14ac:dyDescent="0.25">
      <c r="A145" s="630" t="s">
        <v>3461</v>
      </c>
      <c r="B145" s="630"/>
      <c r="C145" s="630"/>
      <c r="L145" s="630" t="s">
        <v>445</v>
      </c>
      <c r="M145" s="630"/>
      <c r="N145" s="630"/>
      <c r="O145" s="630"/>
      <c r="P145" s="630"/>
      <c r="Q145" s="627">
        <v>751</v>
      </c>
      <c r="R145" s="627"/>
      <c r="T145" s="631">
        <v>95.5</v>
      </c>
      <c r="U145" s="631"/>
      <c r="V145" s="631"/>
      <c r="Y145" s="631">
        <v>0</v>
      </c>
      <c r="Z145" s="631"/>
      <c r="AA145" s="631"/>
      <c r="AB145" s="631"/>
      <c r="AC145" s="631"/>
      <c r="AD145" s="631"/>
      <c r="AF145" s="627">
        <v>846.5</v>
      </c>
      <c r="AG145" s="627"/>
      <c r="AH145" s="627"/>
      <c r="AI145" s="627"/>
      <c r="AJ145" s="627"/>
      <c r="AK145" s="627"/>
      <c r="AL145" s="627"/>
    </row>
    <row r="146" spans="1:38" ht="11.1" customHeight="1" x14ac:dyDescent="0.25">
      <c r="A146" s="630" t="s">
        <v>3462</v>
      </c>
      <c r="B146" s="630"/>
      <c r="C146" s="630"/>
      <c r="M146" s="630" t="s">
        <v>449</v>
      </c>
      <c r="N146" s="630"/>
      <c r="O146" s="630"/>
      <c r="P146" s="630"/>
      <c r="Q146" s="627">
        <v>751</v>
      </c>
      <c r="R146" s="627"/>
      <c r="T146" s="631">
        <v>95.5</v>
      </c>
      <c r="U146" s="631"/>
      <c r="V146" s="631"/>
      <c r="Y146" s="631">
        <v>0</v>
      </c>
      <c r="Z146" s="631"/>
      <c r="AA146" s="631"/>
      <c r="AB146" s="631"/>
      <c r="AC146" s="631"/>
      <c r="AD146" s="631"/>
      <c r="AF146" s="627">
        <v>846.5</v>
      </c>
      <c r="AG146" s="627"/>
      <c r="AH146" s="627"/>
      <c r="AI146" s="627"/>
      <c r="AJ146" s="627"/>
      <c r="AK146" s="627"/>
      <c r="AL146" s="627"/>
    </row>
    <row r="147" spans="1:38" ht="11.1" customHeight="1" x14ac:dyDescent="0.25">
      <c r="A147" s="632" t="s">
        <v>3463</v>
      </c>
      <c r="B147" s="632"/>
      <c r="C147" s="632"/>
      <c r="J147" s="632" t="s">
        <v>216</v>
      </c>
      <c r="K147" s="632"/>
      <c r="L147" s="632"/>
      <c r="M147" s="632"/>
      <c r="N147" s="632"/>
      <c r="O147" s="632"/>
      <c r="P147" s="632"/>
      <c r="Q147" s="633">
        <v>3466.21</v>
      </c>
      <c r="R147" s="633"/>
      <c r="T147" s="634">
        <v>440.77</v>
      </c>
      <c r="U147" s="634"/>
      <c r="V147" s="634"/>
      <c r="Y147" s="634">
        <v>0</v>
      </c>
      <c r="Z147" s="634"/>
      <c r="AA147" s="634"/>
      <c r="AB147" s="634"/>
      <c r="AC147" s="634"/>
      <c r="AD147" s="634"/>
      <c r="AF147" s="633">
        <v>3906.98</v>
      </c>
      <c r="AG147" s="633"/>
      <c r="AH147" s="633"/>
      <c r="AI147" s="633"/>
      <c r="AJ147" s="633"/>
      <c r="AK147" s="633"/>
      <c r="AL147" s="633"/>
    </row>
    <row r="148" spans="1:38" ht="11.1" customHeight="1" x14ac:dyDescent="0.25">
      <c r="A148" s="630" t="s">
        <v>3464</v>
      </c>
      <c r="B148" s="630"/>
      <c r="C148" s="630"/>
      <c r="K148" s="630" t="s">
        <v>216</v>
      </c>
      <c r="L148" s="630"/>
      <c r="M148" s="630"/>
      <c r="N148" s="630"/>
      <c r="O148" s="630"/>
      <c r="P148" s="630"/>
      <c r="Q148" s="627">
        <v>3466.21</v>
      </c>
      <c r="R148" s="627"/>
      <c r="T148" s="631">
        <v>440.77</v>
      </c>
      <c r="U148" s="631"/>
      <c r="V148" s="631"/>
      <c r="Y148" s="631">
        <v>0</v>
      </c>
      <c r="Z148" s="631"/>
      <c r="AA148" s="631"/>
      <c r="AB148" s="631"/>
      <c r="AC148" s="631"/>
      <c r="AD148" s="631"/>
      <c r="AF148" s="627">
        <v>3906.98</v>
      </c>
      <c r="AG148" s="627"/>
      <c r="AH148" s="627"/>
      <c r="AI148" s="627"/>
      <c r="AJ148" s="627"/>
      <c r="AK148" s="627"/>
      <c r="AL148" s="627"/>
    </row>
    <row r="149" spans="1:38" ht="11.1" customHeight="1" x14ac:dyDescent="0.25">
      <c r="A149" s="630" t="s">
        <v>3465</v>
      </c>
      <c r="B149" s="630"/>
      <c r="C149" s="630"/>
      <c r="L149" s="630" t="s">
        <v>216</v>
      </c>
      <c r="M149" s="630"/>
      <c r="N149" s="630"/>
      <c r="O149" s="630"/>
      <c r="P149" s="630"/>
      <c r="Q149" s="627">
        <v>3466.21</v>
      </c>
      <c r="R149" s="627"/>
      <c r="T149" s="631">
        <v>440.77</v>
      </c>
      <c r="U149" s="631"/>
      <c r="V149" s="631"/>
      <c r="Y149" s="631">
        <v>0</v>
      </c>
      <c r="Z149" s="631"/>
      <c r="AA149" s="631"/>
      <c r="AB149" s="631"/>
      <c r="AC149" s="631"/>
      <c r="AD149" s="631"/>
      <c r="AF149" s="627">
        <v>3906.98</v>
      </c>
      <c r="AG149" s="627"/>
      <c r="AH149" s="627"/>
      <c r="AI149" s="627"/>
      <c r="AJ149" s="627"/>
      <c r="AK149" s="627"/>
      <c r="AL149" s="627"/>
    </row>
    <row r="150" spans="1:38" ht="11.1" customHeight="1" x14ac:dyDescent="0.25">
      <c r="A150" s="630" t="s">
        <v>3466</v>
      </c>
      <c r="B150" s="630"/>
      <c r="C150" s="630"/>
      <c r="M150" s="630" t="s">
        <v>454</v>
      </c>
      <c r="N150" s="630"/>
      <c r="O150" s="630"/>
      <c r="P150" s="630"/>
      <c r="Q150" s="627">
        <v>3466.21</v>
      </c>
      <c r="R150" s="627"/>
      <c r="T150" s="631">
        <v>440.77</v>
      </c>
      <c r="U150" s="631"/>
      <c r="V150" s="631"/>
      <c r="Y150" s="631">
        <v>0</v>
      </c>
      <c r="Z150" s="631"/>
      <c r="AA150" s="631"/>
      <c r="AB150" s="631"/>
      <c r="AC150" s="631"/>
      <c r="AD150" s="631"/>
      <c r="AF150" s="627">
        <v>3906.98</v>
      </c>
      <c r="AG150" s="627"/>
      <c r="AH150" s="627"/>
      <c r="AI150" s="627"/>
      <c r="AJ150" s="627"/>
      <c r="AK150" s="627"/>
      <c r="AL150" s="627"/>
    </row>
    <row r="151" spans="1:38" ht="11.1" customHeight="1" x14ac:dyDescent="0.25">
      <c r="A151" s="632" t="s">
        <v>3467</v>
      </c>
      <c r="B151" s="632"/>
      <c r="C151" s="632"/>
      <c r="J151" s="632" t="s">
        <v>331</v>
      </c>
      <c r="K151" s="632"/>
      <c r="L151" s="632"/>
      <c r="M151" s="632"/>
      <c r="N151" s="632"/>
      <c r="O151" s="632"/>
      <c r="P151" s="632"/>
      <c r="Q151" s="633">
        <v>11230.52</v>
      </c>
      <c r="R151" s="633"/>
      <c r="T151" s="634">
        <v>334.95</v>
      </c>
      <c r="U151" s="634"/>
      <c r="V151" s="634"/>
      <c r="Y151" s="634">
        <v>2146.25</v>
      </c>
      <c r="Z151" s="634"/>
      <c r="AA151" s="634"/>
      <c r="AB151" s="634"/>
      <c r="AC151" s="634"/>
      <c r="AD151" s="634"/>
      <c r="AF151" s="633">
        <v>9419.2199999999993</v>
      </c>
      <c r="AG151" s="633"/>
      <c r="AH151" s="633"/>
      <c r="AI151" s="633"/>
      <c r="AJ151" s="633"/>
      <c r="AK151" s="633"/>
      <c r="AL151" s="633"/>
    </row>
    <row r="152" spans="1:38" ht="11.1" customHeight="1" x14ac:dyDescent="0.25">
      <c r="A152" s="630" t="s">
        <v>3468</v>
      </c>
      <c r="B152" s="630"/>
      <c r="C152" s="630"/>
      <c r="K152" s="630" t="s">
        <v>331</v>
      </c>
      <c r="L152" s="630"/>
      <c r="M152" s="630"/>
      <c r="N152" s="630"/>
      <c r="O152" s="630"/>
      <c r="P152" s="630"/>
      <c r="Q152" s="627">
        <v>2901.3</v>
      </c>
      <c r="R152" s="627"/>
      <c r="T152" s="631">
        <v>334.95</v>
      </c>
      <c r="U152" s="631"/>
      <c r="V152" s="631"/>
      <c r="Y152" s="631">
        <v>2146.25</v>
      </c>
      <c r="Z152" s="631"/>
      <c r="AA152" s="631"/>
      <c r="AB152" s="631"/>
      <c r="AC152" s="631"/>
      <c r="AD152" s="631"/>
      <c r="AF152" s="627">
        <v>1090</v>
      </c>
      <c r="AG152" s="627"/>
      <c r="AH152" s="627"/>
      <c r="AI152" s="627"/>
      <c r="AJ152" s="627"/>
      <c r="AK152" s="627"/>
      <c r="AL152" s="627"/>
    </row>
    <row r="153" spans="1:38" ht="11.1" customHeight="1" x14ac:dyDescent="0.25">
      <c r="A153" s="630" t="s">
        <v>3469</v>
      </c>
      <c r="B153" s="630"/>
      <c r="C153" s="630"/>
      <c r="L153" s="630" t="s">
        <v>331</v>
      </c>
      <c r="M153" s="630"/>
      <c r="N153" s="630"/>
      <c r="O153" s="630"/>
      <c r="P153" s="630"/>
      <c r="Q153" s="627">
        <v>2005.18</v>
      </c>
      <c r="R153" s="627"/>
      <c r="T153" s="631">
        <v>334.95</v>
      </c>
      <c r="U153" s="631"/>
      <c r="V153" s="631"/>
      <c r="Y153" s="631">
        <v>2146.25</v>
      </c>
      <c r="Z153" s="631"/>
      <c r="AA153" s="631"/>
      <c r="AB153" s="631"/>
      <c r="AC153" s="631"/>
      <c r="AD153" s="631"/>
      <c r="AF153" s="627">
        <v>193.88</v>
      </c>
      <c r="AG153" s="627"/>
      <c r="AH153" s="627"/>
      <c r="AI153" s="627"/>
      <c r="AJ153" s="627"/>
      <c r="AK153" s="627"/>
      <c r="AL153" s="627"/>
    </row>
    <row r="154" spans="1:38" ht="11.1" customHeight="1" x14ac:dyDescent="0.25">
      <c r="A154" s="630" t="s">
        <v>3470</v>
      </c>
      <c r="B154" s="630"/>
      <c r="C154" s="630"/>
      <c r="M154" s="630" t="s">
        <v>459</v>
      </c>
      <c r="N154" s="630"/>
      <c r="O154" s="630"/>
      <c r="P154" s="630"/>
      <c r="Q154" s="627">
        <v>2005.18</v>
      </c>
      <c r="R154" s="627"/>
      <c r="T154" s="631">
        <v>0</v>
      </c>
      <c r="U154" s="631"/>
      <c r="V154" s="631"/>
      <c r="Y154" s="631">
        <v>1811.3</v>
      </c>
      <c r="Z154" s="631"/>
      <c r="AA154" s="631"/>
      <c r="AB154" s="631"/>
      <c r="AC154" s="631"/>
      <c r="AD154" s="631"/>
      <c r="AF154" s="627">
        <v>193.88</v>
      </c>
      <c r="AG154" s="627"/>
      <c r="AH154" s="627"/>
      <c r="AI154" s="627"/>
      <c r="AJ154" s="627"/>
      <c r="AK154" s="627"/>
      <c r="AL154" s="627"/>
    </row>
    <row r="155" spans="1:38" ht="11.1" customHeight="1" x14ac:dyDescent="0.25">
      <c r="A155" s="630" t="s">
        <v>3471</v>
      </c>
      <c r="B155" s="630"/>
      <c r="C155" s="630"/>
      <c r="M155" s="630" t="s">
        <v>2796</v>
      </c>
      <c r="N155" s="630"/>
      <c r="O155" s="630"/>
      <c r="P155" s="630"/>
      <c r="Q155" s="627">
        <v>0</v>
      </c>
      <c r="R155" s="627"/>
      <c r="T155" s="631">
        <v>334.95</v>
      </c>
      <c r="U155" s="631"/>
      <c r="V155" s="631"/>
      <c r="Y155" s="631">
        <v>334.95</v>
      </c>
      <c r="Z155" s="631"/>
      <c r="AA155" s="631"/>
      <c r="AB155" s="631"/>
      <c r="AC155" s="631"/>
      <c r="AD155" s="631"/>
      <c r="AF155" s="627">
        <v>0</v>
      </c>
      <c r="AG155" s="627"/>
      <c r="AH155" s="627"/>
      <c r="AI155" s="627"/>
      <c r="AJ155" s="627"/>
      <c r="AK155" s="627"/>
      <c r="AL155" s="627"/>
    </row>
    <row r="156" spans="1:38" ht="11.1" customHeight="1" x14ac:dyDescent="0.25">
      <c r="A156" s="630" t="s">
        <v>3472</v>
      </c>
      <c r="B156" s="630"/>
      <c r="C156" s="630"/>
      <c r="L156" s="630" t="s">
        <v>302</v>
      </c>
      <c r="M156" s="630"/>
      <c r="N156" s="630"/>
      <c r="O156" s="630"/>
      <c r="P156" s="630"/>
      <c r="Q156" s="627">
        <v>896.12</v>
      </c>
      <c r="R156" s="627"/>
      <c r="T156" s="631">
        <v>0</v>
      </c>
      <c r="U156" s="631"/>
      <c r="V156" s="631"/>
      <c r="Y156" s="631">
        <v>0</v>
      </c>
      <c r="Z156" s="631"/>
      <c r="AA156" s="631"/>
      <c r="AB156" s="631"/>
      <c r="AC156" s="631"/>
      <c r="AD156" s="631"/>
      <c r="AF156" s="627">
        <v>896.12</v>
      </c>
      <c r="AG156" s="627"/>
      <c r="AH156" s="627"/>
      <c r="AI156" s="627"/>
      <c r="AJ156" s="627"/>
      <c r="AK156" s="627"/>
      <c r="AL156" s="627"/>
    </row>
    <row r="157" spans="1:38" ht="11.1" customHeight="1" x14ac:dyDescent="0.25">
      <c r="A157" s="630" t="s">
        <v>3473</v>
      </c>
      <c r="B157" s="630"/>
      <c r="C157" s="630"/>
      <c r="M157" s="630" t="s">
        <v>331</v>
      </c>
      <c r="N157" s="630"/>
      <c r="O157" s="630"/>
      <c r="P157" s="630"/>
      <c r="Q157" s="627">
        <v>896.12</v>
      </c>
      <c r="R157" s="627"/>
      <c r="T157" s="631">
        <v>0</v>
      </c>
      <c r="U157" s="631"/>
      <c r="V157" s="631"/>
      <c r="Y157" s="631">
        <v>0</v>
      </c>
      <c r="Z157" s="631"/>
      <c r="AA157" s="631"/>
      <c r="AB157" s="631"/>
      <c r="AC157" s="631"/>
      <c r="AD157" s="631"/>
      <c r="AF157" s="627">
        <v>896.12</v>
      </c>
      <c r="AG157" s="627"/>
      <c r="AH157" s="627"/>
      <c r="AI157" s="627"/>
      <c r="AJ157" s="627"/>
      <c r="AK157" s="627"/>
      <c r="AL157" s="627"/>
    </row>
    <row r="158" spans="1:38" ht="11.1" customHeight="1" x14ac:dyDescent="0.25">
      <c r="A158" s="630" t="s">
        <v>3474</v>
      </c>
      <c r="B158" s="630"/>
      <c r="C158" s="630"/>
      <c r="K158" s="630" t="s">
        <v>461</v>
      </c>
      <c r="L158" s="630"/>
      <c r="M158" s="630"/>
      <c r="N158" s="630"/>
      <c r="O158" s="630"/>
      <c r="P158" s="630"/>
      <c r="Q158" s="627">
        <v>8329.2199999999993</v>
      </c>
      <c r="R158" s="627"/>
      <c r="T158" s="631">
        <v>0</v>
      </c>
      <c r="U158" s="631"/>
      <c r="V158" s="631"/>
      <c r="Y158" s="631">
        <v>0</v>
      </c>
      <c r="Z158" s="631"/>
      <c r="AA158" s="631"/>
      <c r="AB158" s="631"/>
      <c r="AC158" s="631"/>
      <c r="AD158" s="631"/>
      <c r="AF158" s="627">
        <v>8329.2199999999993</v>
      </c>
      <c r="AG158" s="627"/>
      <c r="AH158" s="627"/>
      <c r="AI158" s="627"/>
      <c r="AJ158" s="627"/>
      <c r="AK158" s="627"/>
      <c r="AL158" s="627"/>
    </row>
    <row r="159" spans="1:38" ht="11.1" customHeight="1" x14ac:dyDescent="0.25">
      <c r="A159" s="630" t="s">
        <v>3475</v>
      </c>
      <c r="B159" s="630"/>
      <c r="C159" s="630"/>
      <c r="M159" s="630" t="s">
        <v>237</v>
      </c>
      <c r="N159" s="630"/>
      <c r="O159" s="630"/>
      <c r="P159" s="630"/>
      <c r="Q159" s="627">
        <v>8329.2199999999993</v>
      </c>
      <c r="R159" s="627"/>
      <c r="T159" s="631">
        <v>0</v>
      </c>
      <c r="U159" s="631"/>
      <c r="V159" s="631"/>
      <c r="Y159" s="631">
        <v>0</v>
      </c>
      <c r="Z159" s="631"/>
      <c r="AA159" s="631"/>
      <c r="AB159" s="631"/>
      <c r="AC159" s="631"/>
      <c r="AD159" s="631"/>
      <c r="AF159" s="627">
        <v>8329.2199999999993</v>
      </c>
      <c r="AG159" s="627"/>
      <c r="AH159" s="627"/>
      <c r="AI159" s="627"/>
      <c r="AJ159" s="627"/>
      <c r="AK159" s="627"/>
      <c r="AL159" s="627"/>
    </row>
    <row r="160" spans="1:38" ht="11.1" customHeight="1" x14ac:dyDescent="0.25">
      <c r="A160" s="632" t="s">
        <v>3476</v>
      </c>
      <c r="B160" s="632"/>
      <c r="C160" s="632"/>
      <c r="H160" s="632" t="s">
        <v>465</v>
      </c>
      <c r="I160" s="632"/>
      <c r="J160" s="632"/>
      <c r="K160" s="632"/>
      <c r="L160" s="632"/>
      <c r="M160" s="632"/>
      <c r="N160" s="632"/>
      <c r="O160" s="632"/>
      <c r="P160" s="632"/>
      <c r="Q160" s="633">
        <v>1116337.96</v>
      </c>
      <c r="R160" s="633"/>
      <c r="T160" s="634">
        <v>1176.3599999999999</v>
      </c>
      <c r="U160" s="634"/>
      <c r="V160" s="634"/>
      <c r="Y160" s="634">
        <v>240959.69</v>
      </c>
      <c r="Z160" s="634"/>
      <c r="AA160" s="634"/>
      <c r="AB160" s="634"/>
      <c r="AC160" s="634"/>
      <c r="AD160" s="634"/>
      <c r="AF160" s="633">
        <v>876554.63</v>
      </c>
      <c r="AG160" s="633"/>
      <c r="AH160" s="633"/>
      <c r="AI160" s="633"/>
      <c r="AJ160" s="633"/>
      <c r="AK160" s="633"/>
      <c r="AL160" s="633"/>
    </row>
    <row r="161" spans="1:38" ht="11.1" customHeight="1" x14ac:dyDescent="0.25">
      <c r="A161" s="632" t="s">
        <v>3477</v>
      </c>
      <c r="B161" s="632"/>
      <c r="C161" s="632"/>
      <c r="I161" s="632" t="s">
        <v>467</v>
      </c>
      <c r="J161" s="632"/>
      <c r="K161" s="632"/>
      <c r="L161" s="632"/>
      <c r="M161" s="632"/>
      <c r="N161" s="632"/>
      <c r="O161" s="632"/>
      <c r="P161" s="632"/>
      <c r="Q161" s="633">
        <v>1116337.96</v>
      </c>
      <c r="R161" s="633"/>
      <c r="T161" s="634">
        <v>1040.3599999999999</v>
      </c>
      <c r="U161" s="634"/>
      <c r="V161" s="634"/>
      <c r="Y161" s="634">
        <v>240823.69</v>
      </c>
      <c r="Z161" s="634"/>
      <c r="AA161" s="634"/>
      <c r="AB161" s="634"/>
      <c r="AC161" s="634"/>
      <c r="AD161" s="634"/>
      <c r="AF161" s="633">
        <v>876554.63</v>
      </c>
      <c r="AG161" s="633"/>
      <c r="AH161" s="633"/>
      <c r="AI161" s="633"/>
      <c r="AJ161" s="633"/>
      <c r="AK161" s="633"/>
      <c r="AL161" s="633"/>
    </row>
    <row r="162" spans="1:38" ht="11.1" customHeight="1" x14ac:dyDescent="0.25">
      <c r="A162" s="632" t="s">
        <v>3478</v>
      </c>
      <c r="B162" s="632"/>
      <c r="C162" s="632"/>
      <c r="J162" s="632" t="s">
        <v>469</v>
      </c>
      <c r="K162" s="632"/>
      <c r="L162" s="632"/>
      <c r="M162" s="632"/>
      <c r="N162" s="632"/>
      <c r="O162" s="632"/>
      <c r="P162" s="632"/>
      <c r="Q162" s="633">
        <v>1116337.96</v>
      </c>
      <c r="R162" s="633"/>
      <c r="T162" s="634">
        <v>1040.3599999999999</v>
      </c>
      <c r="U162" s="634"/>
      <c r="V162" s="634"/>
      <c r="Y162" s="634">
        <v>240823.69</v>
      </c>
      <c r="Z162" s="634"/>
      <c r="AA162" s="634"/>
      <c r="AB162" s="634"/>
      <c r="AC162" s="634"/>
      <c r="AD162" s="634"/>
      <c r="AF162" s="633">
        <v>876554.63</v>
      </c>
      <c r="AG162" s="633"/>
      <c r="AH162" s="633"/>
      <c r="AI162" s="633"/>
      <c r="AJ162" s="633"/>
      <c r="AK162" s="633"/>
      <c r="AL162" s="633"/>
    </row>
    <row r="163" spans="1:38" ht="11.1" customHeight="1" x14ac:dyDescent="0.25">
      <c r="A163" s="630" t="s">
        <v>3479</v>
      </c>
      <c r="B163" s="630"/>
      <c r="C163" s="630"/>
      <c r="K163" s="630" t="s">
        <v>335</v>
      </c>
      <c r="L163" s="630"/>
      <c r="M163" s="630"/>
      <c r="N163" s="630"/>
      <c r="O163" s="630"/>
      <c r="P163" s="630"/>
      <c r="Q163" s="627">
        <v>1059895.44</v>
      </c>
      <c r="R163" s="627"/>
      <c r="T163" s="631">
        <v>555.84</v>
      </c>
      <c r="U163" s="631"/>
      <c r="V163" s="631"/>
      <c r="Y163" s="631">
        <v>238395.21</v>
      </c>
      <c r="Z163" s="631"/>
      <c r="AA163" s="631"/>
      <c r="AB163" s="631"/>
      <c r="AC163" s="631"/>
      <c r="AD163" s="631"/>
      <c r="AF163" s="627">
        <v>822056.07</v>
      </c>
      <c r="AG163" s="627"/>
      <c r="AH163" s="627"/>
      <c r="AI163" s="627"/>
      <c r="AJ163" s="627"/>
      <c r="AK163" s="627"/>
      <c r="AL163" s="627"/>
    </row>
    <row r="164" spans="1:38" ht="11.1" customHeight="1" x14ac:dyDescent="0.25">
      <c r="A164" s="630" t="s">
        <v>3480</v>
      </c>
      <c r="B164" s="630"/>
      <c r="C164" s="630"/>
      <c r="M164" s="630" t="s">
        <v>2266</v>
      </c>
      <c r="N164" s="630"/>
      <c r="O164" s="630"/>
      <c r="P164" s="630"/>
      <c r="Q164" s="627">
        <v>15551.3</v>
      </c>
      <c r="R164" s="627"/>
      <c r="T164" s="631">
        <v>288.77999999999997</v>
      </c>
      <c r="U164" s="631"/>
      <c r="V164" s="631"/>
      <c r="Y164" s="631">
        <v>917.12</v>
      </c>
      <c r="Z164" s="631"/>
      <c r="AA164" s="631"/>
      <c r="AB164" s="631"/>
      <c r="AC164" s="631"/>
      <c r="AD164" s="631"/>
      <c r="AF164" s="627">
        <v>14922.96</v>
      </c>
      <c r="AG164" s="627"/>
      <c r="AH164" s="627"/>
      <c r="AI164" s="627"/>
      <c r="AJ164" s="627"/>
      <c r="AK164" s="627"/>
      <c r="AL164" s="627"/>
    </row>
    <row r="165" spans="1:38" ht="11.1" customHeight="1" x14ac:dyDescent="0.25">
      <c r="A165" s="630" t="s">
        <v>3481</v>
      </c>
      <c r="B165" s="630"/>
      <c r="C165" s="630"/>
      <c r="M165" s="630" t="s">
        <v>2268</v>
      </c>
      <c r="N165" s="630"/>
      <c r="O165" s="630"/>
      <c r="P165" s="630"/>
      <c r="Q165" s="627">
        <v>1043723.45</v>
      </c>
      <c r="R165" s="627"/>
      <c r="T165" s="631">
        <v>267.06</v>
      </c>
      <c r="U165" s="631"/>
      <c r="V165" s="631"/>
      <c r="Y165" s="631">
        <v>237478.09</v>
      </c>
      <c r="Z165" s="631"/>
      <c r="AA165" s="631"/>
      <c r="AB165" s="631"/>
      <c r="AC165" s="631"/>
      <c r="AD165" s="631"/>
      <c r="AF165" s="627">
        <v>806512.42</v>
      </c>
      <c r="AG165" s="627"/>
      <c r="AH165" s="627"/>
      <c r="AI165" s="627"/>
      <c r="AJ165" s="627"/>
      <c r="AK165" s="627"/>
      <c r="AL165" s="627"/>
    </row>
    <row r="166" spans="1:38" ht="11.1" customHeight="1" x14ac:dyDescent="0.25">
      <c r="A166" s="630" t="s">
        <v>3482</v>
      </c>
      <c r="B166" s="630"/>
      <c r="C166" s="630"/>
      <c r="M166" s="630" t="s">
        <v>2270</v>
      </c>
      <c r="N166" s="630"/>
      <c r="O166" s="630"/>
      <c r="P166" s="630"/>
      <c r="Q166" s="627">
        <v>620.69000000000005</v>
      </c>
      <c r="R166" s="627"/>
      <c r="T166" s="631">
        <v>0</v>
      </c>
      <c r="U166" s="631"/>
      <c r="V166" s="631"/>
      <c r="Y166" s="631">
        <v>0</v>
      </c>
      <c r="Z166" s="631"/>
      <c r="AA166" s="631"/>
      <c r="AB166" s="631"/>
      <c r="AC166" s="631"/>
      <c r="AD166" s="631"/>
      <c r="AF166" s="627">
        <v>620.69000000000005</v>
      </c>
      <c r="AG166" s="627"/>
      <c r="AH166" s="627"/>
      <c r="AI166" s="627"/>
      <c r="AJ166" s="627"/>
      <c r="AK166" s="627"/>
      <c r="AL166" s="627"/>
    </row>
    <row r="167" spans="1:38" ht="11.1" customHeight="1" x14ac:dyDescent="0.25">
      <c r="A167" s="630" t="s">
        <v>3483</v>
      </c>
      <c r="B167" s="630"/>
      <c r="C167" s="630"/>
      <c r="K167" s="630" t="s">
        <v>471</v>
      </c>
      <c r="L167" s="630"/>
      <c r="M167" s="630"/>
      <c r="N167" s="630"/>
      <c r="O167" s="630"/>
      <c r="P167" s="630"/>
      <c r="Q167" s="627">
        <v>56442.52</v>
      </c>
      <c r="R167" s="627"/>
      <c r="T167" s="631">
        <v>484.52</v>
      </c>
      <c r="U167" s="631"/>
      <c r="V167" s="631"/>
      <c r="Y167" s="631">
        <v>2428.48</v>
      </c>
      <c r="Z167" s="631"/>
      <c r="AA167" s="631"/>
      <c r="AB167" s="631"/>
      <c r="AC167" s="631"/>
      <c r="AD167" s="631"/>
      <c r="AF167" s="627">
        <v>54498.559999999998</v>
      </c>
      <c r="AG167" s="627"/>
      <c r="AH167" s="627"/>
      <c r="AI167" s="627"/>
      <c r="AJ167" s="627"/>
      <c r="AK167" s="627"/>
      <c r="AL167" s="627"/>
    </row>
    <row r="168" spans="1:38" ht="11.1" customHeight="1" x14ac:dyDescent="0.25">
      <c r="A168" s="630" t="s">
        <v>3484</v>
      </c>
      <c r="B168" s="630"/>
      <c r="C168" s="630"/>
      <c r="M168" s="630" t="s">
        <v>473</v>
      </c>
      <c r="N168" s="630"/>
      <c r="O168" s="630"/>
      <c r="P168" s="630"/>
      <c r="Q168" s="627">
        <v>56442.52</v>
      </c>
      <c r="R168" s="627"/>
      <c r="T168" s="631">
        <v>484.52</v>
      </c>
      <c r="U168" s="631"/>
      <c r="V168" s="631"/>
      <c r="Y168" s="631">
        <v>2428.48</v>
      </c>
      <c r="Z168" s="631"/>
      <c r="AA168" s="631"/>
      <c r="AB168" s="631"/>
      <c r="AC168" s="631"/>
      <c r="AD168" s="631"/>
      <c r="AF168" s="627">
        <v>54498.559999999998</v>
      </c>
      <c r="AG168" s="627"/>
      <c r="AH168" s="627"/>
      <c r="AI168" s="627"/>
      <c r="AJ168" s="627"/>
      <c r="AK168" s="627"/>
      <c r="AL168" s="627"/>
    </row>
    <row r="169" spans="1:38" ht="11.1" customHeight="1" x14ac:dyDescent="0.25">
      <c r="A169" s="632" t="s">
        <v>3485</v>
      </c>
      <c r="B169" s="632"/>
      <c r="C169" s="632"/>
      <c r="I169" s="632" t="s">
        <v>2362</v>
      </c>
      <c r="J169" s="632"/>
      <c r="K169" s="632"/>
      <c r="L169" s="632"/>
      <c r="M169" s="632"/>
      <c r="N169" s="632"/>
      <c r="O169" s="632"/>
      <c r="P169" s="632"/>
      <c r="Q169" s="633">
        <v>0</v>
      </c>
      <c r="R169" s="633"/>
      <c r="T169" s="634">
        <v>136</v>
      </c>
      <c r="U169" s="634"/>
      <c r="V169" s="634"/>
      <c r="Y169" s="634">
        <v>136</v>
      </c>
      <c r="Z169" s="634"/>
      <c r="AA169" s="634"/>
      <c r="AB169" s="634"/>
      <c r="AC169" s="634"/>
      <c r="AD169" s="634"/>
      <c r="AF169" s="633">
        <v>0</v>
      </c>
      <c r="AG169" s="633"/>
      <c r="AH169" s="633"/>
      <c r="AI169" s="633"/>
      <c r="AJ169" s="633"/>
      <c r="AK169" s="633"/>
      <c r="AL169" s="633"/>
    </row>
    <row r="170" spans="1:38" ht="11.1" customHeight="1" x14ac:dyDescent="0.25">
      <c r="A170" s="632" t="s">
        <v>3486</v>
      </c>
      <c r="B170" s="632"/>
      <c r="C170" s="632"/>
      <c r="J170" s="632" t="s">
        <v>2364</v>
      </c>
      <c r="K170" s="632"/>
      <c r="L170" s="632"/>
      <c r="M170" s="632"/>
      <c r="N170" s="632"/>
      <c r="O170" s="632"/>
      <c r="P170" s="632"/>
      <c r="Q170" s="633">
        <v>0</v>
      </c>
      <c r="R170" s="633"/>
      <c r="T170" s="634">
        <v>136</v>
      </c>
      <c r="U170" s="634"/>
      <c r="V170" s="634"/>
      <c r="Y170" s="634">
        <v>136</v>
      </c>
      <c r="Z170" s="634"/>
      <c r="AA170" s="634"/>
      <c r="AB170" s="634"/>
      <c r="AC170" s="634"/>
      <c r="AD170" s="634"/>
      <c r="AF170" s="633">
        <v>0</v>
      </c>
      <c r="AG170" s="633"/>
      <c r="AH170" s="633"/>
      <c r="AI170" s="633"/>
      <c r="AJ170" s="633"/>
      <c r="AK170" s="633"/>
      <c r="AL170" s="633"/>
    </row>
    <row r="171" spans="1:38" ht="11.1" customHeight="1" x14ac:dyDescent="0.25">
      <c r="A171" s="630" t="s">
        <v>3487</v>
      </c>
      <c r="B171" s="630"/>
      <c r="C171" s="630"/>
      <c r="M171" s="630" t="s">
        <v>2364</v>
      </c>
      <c r="N171" s="630"/>
      <c r="O171" s="630"/>
      <c r="P171" s="630"/>
      <c r="Q171" s="627">
        <v>0</v>
      </c>
      <c r="R171" s="627"/>
      <c r="T171" s="631">
        <v>136</v>
      </c>
      <c r="U171" s="631"/>
      <c r="V171" s="631"/>
      <c r="Y171" s="631">
        <v>136</v>
      </c>
      <c r="Z171" s="631"/>
      <c r="AA171" s="631"/>
      <c r="AB171" s="631"/>
      <c r="AC171" s="631"/>
      <c r="AD171" s="631"/>
      <c r="AF171" s="627">
        <v>0</v>
      </c>
      <c r="AG171" s="627"/>
      <c r="AH171" s="627"/>
      <c r="AI171" s="627"/>
      <c r="AJ171" s="627"/>
      <c r="AK171" s="627"/>
      <c r="AL171" s="627"/>
    </row>
    <row r="172" spans="1:38" ht="11.1" customHeight="1" x14ac:dyDescent="0.25">
      <c r="A172" s="632" t="s">
        <v>3488</v>
      </c>
      <c r="B172" s="632"/>
      <c r="C172" s="632"/>
      <c r="H172" s="632" t="s">
        <v>475</v>
      </c>
      <c r="I172" s="632"/>
      <c r="J172" s="632"/>
      <c r="K172" s="632"/>
      <c r="L172" s="632"/>
      <c r="M172" s="632"/>
      <c r="N172" s="632"/>
      <c r="O172" s="632"/>
      <c r="P172" s="632"/>
      <c r="Q172" s="633">
        <v>64769.58</v>
      </c>
      <c r="R172" s="633"/>
      <c r="T172" s="634">
        <v>0.01</v>
      </c>
      <c r="U172" s="634"/>
      <c r="V172" s="634"/>
      <c r="Y172" s="634">
        <v>10724.1</v>
      </c>
      <c r="Z172" s="634"/>
      <c r="AA172" s="634"/>
      <c r="AB172" s="634"/>
      <c r="AC172" s="634"/>
      <c r="AD172" s="634"/>
      <c r="AF172" s="633">
        <v>54045.49</v>
      </c>
      <c r="AG172" s="633"/>
      <c r="AH172" s="633"/>
      <c r="AI172" s="633"/>
      <c r="AJ172" s="633"/>
      <c r="AK172" s="633"/>
      <c r="AL172" s="633"/>
    </row>
    <row r="173" spans="1:38" ht="11.1" customHeight="1" x14ac:dyDescent="0.25">
      <c r="A173" s="632" t="s">
        <v>3489</v>
      </c>
      <c r="B173" s="632"/>
      <c r="C173" s="632"/>
      <c r="I173" s="632" t="s">
        <v>477</v>
      </c>
      <c r="J173" s="632"/>
      <c r="K173" s="632"/>
      <c r="L173" s="632"/>
      <c r="M173" s="632"/>
      <c r="N173" s="632"/>
      <c r="O173" s="632"/>
      <c r="P173" s="632"/>
      <c r="Q173" s="633">
        <v>64769.58</v>
      </c>
      <c r="R173" s="633"/>
      <c r="T173" s="634">
        <v>0.01</v>
      </c>
      <c r="U173" s="634"/>
      <c r="V173" s="634"/>
      <c r="Y173" s="634">
        <v>10724.1</v>
      </c>
      <c r="Z173" s="634"/>
      <c r="AA173" s="634"/>
      <c r="AB173" s="634"/>
      <c r="AC173" s="634"/>
      <c r="AD173" s="634"/>
      <c r="AF173" s="633">
        <v>54045.49</v>
      </c>
      <c r="AG173" s="633"/>
      <c r="AH173" s="633"/>
      <c r="AI173" s="633"/>
      <c r="AJ173" s="633"/>
      <c r="AK173" s="633"/>
      <c r="AL173" s="633"/>
    </row>
    <row r="174" spans="1:38" ht="11.1" customHeight="1" x14ac:dyDescent="0.25">
      <c r="A174" s="632" t="s">
        <v>3490</v>
      </c>
      <c r="B174" s="632"/>
      <c r="C174" s="632"/>
      <c r="J174" s="632" t="s">
        <v>477</v>
      </c>
      <c r="K174" s="632"/>
      <c r="L174" s="632"/>
      <c r="M174" s="632"/>
      <c r="N174" s="632"/>
      <c r="O174" s="632"/>
      <c r="P174" s="632"/>
      <c r="Q174" s="633">
        <v>64769.58</v>
      </c>
      <c r="R174" s="633"/>
      <c r="T174" s="634">
        <v>0.01</v>
      </c>
      <c r="U174" s="634"/>
      <c r="V174" s="634"/>
      <c r="Y174" s="634">
        <v>10724.1</v>
      </c>
      <c r="Z174" s="634"/>
      <c r="AA174" s="634"/>
      <c r="AB174" s="634"/>
      <c r="AC174" s="634"/>
      <c r="AD174" s="634"/>
      <c r="AF174" s="633">
        <v>54045.49</v>
      </c>
      <c r="AG174" s="633"/>
      <c r="AH174" s="633"/>
      <c r="AI174" s="633"/>
      <c r="AJ174" s="633"/>
      <c r="AK174" s="633"/>
      <c r="AL174" s="633"/>
    </row>
    <row r="175" spans="1:38" ht="11.1" customHeight="1" x14ac:dyDescent="0.25">
      <c r="A175" s="630" t="s">
        <v>3491</v>
      </c>
      <c r="B175" s="630"/>
      <c r="C175" s="630"/>
      <c r="K175" s="630" t="s">
        <v>477</v>
      </c>
      <c r="L175" s="630"/>
      <c r="M175" s="630"/>
      <c r="N175" s="630"/>
      <c r="O175" s="630"/>
      <c r="P175" s="630"/>
      <c r="Q175" s="627">
        <v>64769.58</v>
      </c>
      <c r="R175" s="627"/>
      <c r="T175" s="631">
        <v>0.01</v>
      </c>
      <c r="U175" s="631"/>
      <c r="V175" s="631"/>
      <c r="Y175" s="631">
        <v>10724.1</v>
      </c>
      <c r="Z175" s="631"/>
      <c r="AA175" s="631"/>
      <c r="AB175" s="631"/>
      <c r="AC175" s="631"/>
      <c r="AD175" s="631"/>
      <c r="AF175" s="627">
        <v>54045.49</v>
      </c>
      <c r="AG175" s="627"/>
      <c r="AH175" s="627"/>
      <c r="AI175" s="627"/>
      <c r="AJ175" s="627"/>
      <c r="AK175" s="627"/>
      <c r="AL175" s="627"/>
    </row>
    <row r="176" spans="1:38" ht="11.1" customHeight="1" x14ac:dyDescent="0.25">
      <c r="A176" s="630" t="s">
        <v>3492</v>
      </c>
      <c r="B176" s="630"/>
      <c r="C176" s="630"/>
      <c r="L176" s="630" t="s">
        <v>477</v>
      </c>
      <c r="M176" s="630"/>
      <c r="N176" s="630"/>
      <c r="O176" s="630"/>
      <c r="P176" s="630"/>
      <c r="Q176" s="627">
        <v>28117.66</v>
      </c>
      <c r="R176" s="627"/>
      <c r="T176" s="631">
        <v>0</v>
      </c>
      <c r="U176" s="631"/>
      <c r="V176" s="631"/>
      <c r="Y176" s="631">
        <v>4730.99</v>
      </c>
      <c r="Z176" s="631"/>
      <c r="AA176" s="631"/>
      <c r="AB176" s="631"/>
      <c r="AC176" s="631"/>
      <c r="AD176" s="631"/>
      <c r="AF176" s="627">
        <v>23386.67</v>
      </c>
      <c r="AG176" s="627"/>
      <c r="AH176" s="627"/>
      <c r="AI176" s="627"/>
      <c r="AJ176" s="627"/>
      <c r="AK176" s="627"/>
      <c r="AL176" s="627"/>
    </row>
    <row r="177" spans="1:38" ht="11.1" customHeight="1" x14ac:dyDescent="0.25">
      <c r="A177" s="630" t="s">
        <v>3493</v>
      </c>
      <c r="B177" s="630"/>
      <c r="C177" s="630"/>
      <c r="M177" s="630" t="s">
        <v>482</v>
      </c>
      <c r="N177" s="630"/>
      <c r="O177" s="630"/>
      <c r="P177" s="630"/>
      <c r="Q177" s="627">
        <v>722.05</v>
      </c>
      <c r="R177" s="627"/>
      <c r="T177" s="631">
        <v>0</v>
      </c>
      <c r="U177" s="631"/>
      <c r="V177" s="631"/>
      <c r="Y177" s="631">
        <v>180.53</v>
      </c>
      <c r="Z177" s="631"/>
      <c r="AA177" s="631"/>
      <c r="AB177" s="631"/>
      <c r="AC177" s="631"/>
      <c r="AD177" s="631"/>
      <c r="AF177" s="627">
        <v>541.52</v>
      </c>
      <c r="AG177" s="627"/>
      <c r="AH177" s="627"/>
      <c r="AI177" s="627"/>
      <c r="AJ177" s="627"/>
      <c r="AK177" s="627"/>
      <c r="AL177" s="627"/>
    </row>
    <row r="178" spans="1:38" ht="11.1" customHeight="1" x14ac:dyDescent="0.25">
      <c r="A178" s="630" t="s">
        <v>3494</v>
      </c>
      <c r="B178" s="630"/>
      <c r="C178" s="630"/>
      <c r="M178" s="630" t="s">
        <v>484</v>
      </c>
      <c r="N178" s="630"/>
      <c r="O178" s="630"/>
      <c r="P178" s="630"/>
      <c r="Q178" s="627">
        <v>6614.05</v>
      </c>
      <c r="R178" s="627"/>
      <c r="T178" s="631">
        <v>0</v>
      </c>
      <c r="U178" s="631"/>
      <c r="V178" s="631"/>
      <c r="Y178" s="631">
        <v>697.68</v>
      </c>
      <c r="Z178" s="631"/>
      <c r="AA178" s="631"/>
      <c r="AB178" s="631"/>
      <c r="AC178" s="631"/>
      <c r="AD178" s="631"/>
      <c r="AF178" s="627">
        <v>5916.37</v>
      </c>
      <c r="AG178" s="627"/>
      <c r="AH178" s="627"/>
      <c r="AI178" s="627"/>
      <c r="AJ178" s="627"/>
      <c r="AK178" s="627"/>
      <c r="AL178" s="627"/>
    </row>
    <row r="179" spans="1:38" ht="11.1" customHeight="1" x14ac:dyDescent="0.25">
      <c r="A179" s="630" t="s">
        <v>3495</v>
      </c>
      <c r="B179" s="630"/>
      <c r="C179" s="630"/>
      <c r="M179" s="630" t="s">
        <v>2800</v>
      </c>
      <c r="N179" s="630"/>
      <c r="O179" s="630"/>
      <c r="P179" s="630"/>
      <c r="Q179" s="627">
        <v>2491.89</v>
      </c>
      <c r="R179" s="627"/>
      <c r="T179" s="631">
        <v>0</v>
      </c>
      <c r="U179" s="631"/>
      <c r="V179" s="631"/>
      <c r="Y179" s="631">
        <v>1239.97</v>
      </c>
      <c r="Z179" s="631"/>
      <c r="AA179" s="631"/>
      <c r="AB179" s="631"/>
      <c r="AC179" s="631"/>
      <c r="AD179" s="631"/>
      <c r="AF179" s="627">
        <v>1251.92</v>
      </c>
      <c r="AG179" s="627"/>
      <c r="AH179" s="627"/>
      <c r="AI179" s="627"/>
      <c r="AJ179" s="627"/>
      <c r="AK179" s="627"/>
      <c r="AL179" s="627"/>
    </row>
    <row r="180" spans="1:38" ht="11.1" customHeight="1" x14ac:dyDescent="0.25">
      <c r="A180" s="630" t="s">
        <v>3496</v>
      </c>
      <c r="B180" s="630"/>
      <c r="C180" s="630"/>
      <c r="M180" s="630" t="s">
        <v>2802</v>
      </c>
      <c r="N180" s="630"/>
      <c r="O180" s="630"/>
      <c r="P180" s="630"/>
      <c r="Q180" s="627">
        <v>18289.669999999998</v>
      </c>
      <c r="R180" s="627"/>
      <c r="T180" s="631">
        <v>0</v>
      </c>
      <c r="U180" s="631"/>
      <c r="V180" s="631"/>
      <c r="Y180" s="631">
        <v>2612.81</v>
      </c>
      <c r="Z180" s="631"/>
      <c r="AA180" s="631"/>
      <c r="AB180" s="631"/>
      <c r="AC180" s="631"/>
      <c r="AD180" s="631"/>
      <c r="AF180" s="627">
        <v>15676.86</v>
      </c>
      <c r="AG180" s="627"/>
      <c r="AH180" s="627"/>
      <c r="AI180" s="627"/>
      <c r="AJ180" s="627"/>
      <c r="AK180" s="627"/>
      <c r="AL180" s="627"/>
    </row>
    <row r="181" spans="1:38" ht="11.1" customHeight="1" x14ac:dyDescent="0.25">
      <c r="A181" s="630" t="s">
        <v>3497</v>
      </c>
      <c r="B181" s="630"/>
      <c r="C181" s="630"/>
      <c r="L181" s="630" t="s">
        <v>302</v>
      </c>
      <c r="M181" s="630"/>
      <c r="N181" s="630"/>
      <c r="O181" s="630"/>
      <c r="P181" s="630"/>
      <c r="Q181" s="627">
        <v>36651.919999999998</v>
      </c>
      <c r="R181" s="627"/>
      <c r="T181" s="631">
        <v>0.01</v>
      </c>
      <c r="U181" s="631"/>
      <c r="V181" s="631"/>
      <c r="Y181" s="631">
        <v>5993.11</v>
      </c>
      <c r="Z181" s="631"/>
      <c r="AA181" s="631"/>
      <c r="AB181" s="631"/>
      <c r="AC181" s="631"/>
      <c r="AD181" s="631"/>
      <c r="AF181" s="627">
        <v>30658.82</v>
      </c>
      <c r="AG181" s="627"/>
      <c r="AH181" s="627"/>
      <c r="AI181" s="627"/>
      <c r="AJ181" s="627"/>
      <c r="AK181" s="627"/>
      <c r="AL181" s="627"/>
    </row>
    <row r="182" spans="1:38" ht="11.1" customHeight="1" x14ac:dyDescent="0.25">
      <c r="A182" s="630" t="s">
        <v>3498</v>
      </c>
      <c r="B182" s="630"/>
      <c r="C182" s="630"/>
      <c r="M182" s="630" t="s">
        <v>487</v>
      </c>
      <c r="N182" s="630"/>
      <c r="O182" s="630"/>
      <c r="P182" s="630"/>
      <c r="Q182" s="627">
        <v>36651.919999999998</v>
      </c>
      <c r="R182" s="627"/>
      <c r="T182" s="631">
        <v>0.01</v>
      </c>
      <c r="U182" s="631"/>
      <c r="V182" s="631"/>
      <c r="Y182" s="631">
        <v>5993.11</v>
      </c>
      <c r="Z182" s="631"/>
      <c r="AA182" s="631"/>
      <c r="AB182" s="631"/>
      <c r="AC182" s="631"/>
      <c r="AD182" s="631"/>
      <c r="AF182" s="627">
        <v>30658.82</v>
      </c>
      <c r="AG182" s="627"/>
      <c r="AH182" s="627"/>
      <c r="AI182" s="627"/>
      <c r="AJ182" s="627"/>
      <c r="AK182" s="627"/>
      <c r="AL182" s="627"/>
    </row>
    <row r="183" spans="1:38" ht="11.1" customHeight="1" x14ac:dyDescent="0.25">
      <c r="A183" s="632" t="s">
        <v>3499</v>
      </c>
      <c r="B183" s="632"/>
      <c r="C183" s="632"/>
      <c r="H183" s="632" t="s">
        <v>489</v>
      </c>
      <c r="I183" s="632"/>
      <c r="J183" s="632"/>
      <c r="K183" s="632"/>
      <c r="L183" s="632"/>
      <c r="M183" s="632"/>
      <c r="N183" s="632"/>
      <c r="O183" s="632"/>
      <c r="P183" s="632"/>
      <c r="Q183" s="633">
        <v>5492182.21</v>
      </c>
      <c r="R183" s="633"/>
      <c r="T183" s="634">
        <v>1387786.5</v>
      </c>
      <c r="U183" s="634"/>
      <c r="V183" s="634"/>
      <c r="Y183" s="634">
        <v>5439965.4800000004</v>
      </c>
      <c r="Z183" s="634"/>
      <c r="AA183" s="634"/>
      <c r="AB183" s="634"/>
      <c r="AC183" s="634"/>
      <c r="AD183" s="634"/>
      <c r="AF183" s="633">
        <v>1440003.23</v>
      </c>
      <c r="AG183" s="633"/>
      <c r="AH183" s="633"/>
      <c r="AI183" s="633"/>
      <c r="AJ183" s="633"/>
      <c r="AK183" s="633"/>
      <c r="AL183" s="633"/>
    </row>
    <row r="184" spans="1:38" ht="11.1" customHeight="1" x14ac:dyDescent="0.25">
      <c r="A184" s="632" t="s">
        <v>3500</v>
      </c>
      <c r="B184" s="632"/>
      <c r="C184" s="632"/>
      <c r="I184" s="632" t="s">
        <v>491</v>
      </c>
      <c r="J184" s="632"/>
      <c r="K184" s="632"/>
      <c r="L184" s="632"/>
      <c r="M184" s="632"/>
      <c r="N184" s="632"/>
      <c r="O184" s="632"/>
      <c r="P184" s="632"/>
      <c r="Q184" s="633">
        <v>5492182.21</v>
      </c>
      <c r="R184" s="633"/>
      <c r="T184" s="634">
        <v>1387786.5</v>
      </c>
      <c r="U184" s="634"/>
      <c r="V184" s="634"/>
      <c r="Y184" s="634">
        <v>5439965.4800000004</v>
      </c>
      <c r="Z184" s="634"/>
      <c r="AA184" s="634"/>
      <c r="AB184" s="634"/>
      <c r="AC184" s="634"/>
      <c r="AD184" s="634"/>
      <c r="AF184" s="633">
        <v>1440003.23</v>
      </c>
      <c r="AG184" s="633"/>
      <c r="AH184" s="633"/>
      <c r="AI184" s="633"/>
      <c r="AJ184" s="633"/>
      <c r="AK184" s="633"/>
      <c r="AL184" s="633"/>
    </row>
    <row r="185" spans="1:38" ht="11.1" customHeight="1" x14ac:dyDescent="0.25">
      <c r="A185" s="632" t="s">
        <v>3501</v>
      </c>
      <c r="B185" s="632"/>
      <c r="C185" s="632"/>
      <c r="J185" s="632" t="s">
        <v>493</v>
      </c>
      <c r="K185" s="632"/>
      <c r="L185" s="632"/>
      <c r="M185" s="632"/>
      <c r="N185" s="632"/>
      <c r="O185" s="632"/>
      <c r="P185" s="632"/>
      <c r="Q185" s="633">
        <v>129913.46</v>
      </c>
      <c r="R185" s="633"/>
      <c r="T185" s="634">
        <v>134665.06</v>
      </c>
      <c r="U185" s="634"/>
      <c r="V185" s="634"/>
      <c r="Y185" s="634">
        <v>214930.17</v>
      </c>
      <c r="Z185" s="634"/>
      <c r="AA185" s="634"/>
      <c r="AB185" s="634"/>
      <c r="AC185" s="634"/>
      <c r="AD185" s="634"/>
      <c r="AF185" s="633">
        <v>49648.35</v>
      </c>
      <c r="AG185" s="633"/>
      <c r="AH185" s="633"/>
      <c r="AI185" s="633"/>
      <c r="AJ185" s="633"/>
      <c r="AK185" s="633"/>
      <c r="AL185" s="633"/>
    </row>
    <row r="186" spans="1:38" ht="11.1" customHeight="1" x14ac:dyDescent="0.25">
      <c r="A186" s="630" t="s">
        <v>3502</v>
      </c>
      <c r="B186" s="630"/>
      <c r="C186" s="630"/>
      <c r="K186" s="630" t="s">
        <v>493</v>
      </c>
      <c r="L186" s="630"/>
      <c r="M186" s="630"/>
      <c r="N186" s="630"/>
      <c r="O186" s="630"/>
      <c r="P186" s="630"/>
      <c r="Q186" s="627">
        <v>129913.46</v>
      </c>
      <c r="R186" s="627"/>
      <c r="T186" s="631">
        <v>134665.06</v>
      </c>
      <c r="U186" s="631"/>
      <c r="V186" s="631"/>
      <c r="Y186" s="631">
        <v>214930.17</v>
      </c>
      <c r="Z186" s="631"/>
      <c r="AA186" s="631"/>
      <c r="AB186" s="631"/>
      <c r="AC186" s="631"/>
      <c r="AD186" s="631"/>
      <c r="AF186" s="627">
        <v>49648.35</v>
      </c>
      <c r="AG186" s="627"/>
      <c r="AH186" s="627"/>
      <c r="AI186" s="627"/>
      <c r="AJ186" s="627"/>
      <c r="AK186" s="627"/>
      <c r="AL186" s="627"/>
    </row>
    <row r="187" spans="1:38" ht="11.1" customHeight="1" x14ac:dyDescent="0.25">
      <c r="A187" s="630" t="s">
        <v>3503</v>
      </c>
      <c r="B187" s="630"/>
      <c r="C187" s="630"/>
      <c r="L187" s="630" t="s">
        <v>493</v>
      </c>
      <c r="M187" s="630"/>
      <c r="N187" s="630"/>
      <c r="O187" s="630"/>
      <c r="P187" s="630"/>
      <c r="Q187" s="627">
        <v>128502.93</v>
      </c>
      <c r="R187" s="627"/>
      <c r="T187" s="631">
        <v>134512.54999999999</v>
      </c>
      <c r="U187" s="631"/>
      <c r="V187" s="631"/>
      <c r="Y187" s="631">
        <v>214930.17</v>
      </c>
      <c r="Z187" s="631"/>
      <c r="AA187" s="631"/>
      <c r="AB187" s="631"/>
      <c r="AC187" s="631"/>
      <c r="AD187" s="631"/>
      <c r="AF187" s="627">
        <v>48085.31</v>
      </c>
      <c r="AG187" s="627"/>
      <c r="AH187" s="627"/>
      <c r="AI187" s="627"/>
      <c r="AJ187" s="627"/>
      <c r="AK187" s="627"/>
      <c r="AL187" s="627"/>
    </row>
    <row r="188" spans="1:38" ht="11.1" customHeight="1" x14ac:dyDescent="0.25">
      <c r="A188" s="630" t="s">
        <v>3504</v>
      </c>
      <c r="B188" s="630"/>
      <c r="C188" s="630"/>
      <c r="M188" s="630" t="s">
        <v>497</v>
      </c>
      <c r="N188" s="630"/>
      <c r="O188" s="630"/>
      <c r="P188" s="630"/>
      <c r="Q188" s="627">
        <v>0</v>
      </c>
      <c r="R188" s="627"/>
      <c r="T188" s="631">
        <v>91100.86</v>
      </c>
      <c r="U188" s="631"/>
      <c r="V188" s="631"/>
      <c r="Y188" s="631">
        <v>91100.86</v>
      </c>
      <c r="Z188" s="631"/>
      <c r="AA188" s="631"/>
      <c r="AB188" s="631"/>
      <c r="AC188" s="631"/>
      <c r="AD188" s="631"/>
      <c r="AF188" s="627">
        <v>0</v>
      </c>
      <c r="AG188" s="627"/>
      <c r="AH188" s="627"/>
      <c r="AI188" s="627"/>
      <c r="AJ188" s="627"/>
      <c r="AK188" s="627"/>
      <c r="AL188" s="627"/>
    </row>
    <row r="189" spans="1:38" ht="11.1" customHeight="1" x14ac:dyDescent="0.25">
      <c r="A189" s="630" t="s">
        <v>3505</v>
      </c>
      <c r="B189" s="630"/>
      <c r="C189" s="630"/>
      <c r="M189" s="630" t="s">
        <v>499</v>
      </c>
      <c r="N189" s="630"/>
      <c r="O189" s="630"/>
      <c r="P189" s="630"/>
      <c r="Q189" s="627">
        <v>108972.91</v>
      </c>
      <c r="R189" s="627"/>
      <c r="T189" s="631">
        <v>10830.39</v>
      </c>
      <c r="U189" s="631"/>
      <c r="V189" s="631"/>
      <c r="Y189" s="631">
        <v>102072.93</v>
      </c>
      <c r="Z189" s="631"/>
      <c r="AA189" s="631"/>
      <c r="AB189" s="631"/>
      <c r="AC189" s="631"/>
      <c r="AD189" s="631"/>
      <c r="AF189" s="627">
        <v>17730.37</v>
      </c>
      <c r="AG189" s="627"/>
      <c r="AH189" s="627"/>
      <c r="AI189" s="627"/>
      <c r="AJ189" s="627"/>
      <c r="AK189" s="627"/>
      <c r="AL189" s="627"/>
    </row>
    <row r="190" spans="1:38" ht="11.1" customHeight="1" x14ac:dyDescent="0.25">
      <c r="A190" s="630" t="s">
        <v>3506</v>
      </c>
      <c r="B190" s="630"/>
      <c r="C190" s="630"/>
      <c r="M190" s="630" t="s">
        <v>501</v>
      </c>
      <c r="N190" s="630"/>
      <c r="O190" s="630"/>
      <c r="P190" s="630"/>
      <c r="Q190" s="627">
        <v>0</v>
      </c>
      <c r="R190" s="627"/>
      <c r="T190" s="631">
        <v>1278.3499999999999</v>
      </c>
      <c r="U190" s="631"/>
      <c r="V190" s="631"/>
      <c r="Y190" s="631">
        <v>1278.3499999999999</v>
      </c>
      <c r="Z190" s="631"/>
      <c r="AA190" s="631"/>
      <c r="AB190" s="631"/>
      <c r="AC190" s="631"/>
      <c r="AD190" s="631"/>
      <c r="AF190" s="627">
        <v>0</v>
      </c>
      <c r="AG190" s="627"/>
      <c r="AH190" s="627"/>
      <c r="AI190" s="627"/>
      <c r="AJ190" s="627"/>
      <c r="AK190" s="627"/>
      <c r="AL190" s="627"/>
    </row>
    <row r="191" spans="1:38" ht="11.1" customHeight="1" x14ac:dyDescent="0.25">
      <c r="A191" s="630" t="s">
        <v>3507</v>
      </c>
      <c r="B191" s="630"/>
      <c r="C191" s="630"/>
      <c r="M191" s="630" t="s">
        <v>503</v>
      </c>
      <c r="N191" s="630"/>
      <c r="O191" s="630"/>
      <c r="P191" s="630"/>
      <c r="Q191" s="627">
        <v>0</v>
      </c>
      <c r="R191" s="627"/>
      <c r="T191" s="631">
        <v>633.84</v>
      </c>
      <c r="U191" s="631"/>
      <c r="V191" s="631"/>
      <c r="Y191" s="631">
        <v>633.84</v>
      </c>
      <c r="Z191" s="631"/>
      <c r="AA191" s="631"/>
      <c r="AB191" s="631"/>
      <c r="AC191" s="631"/>
      <c r="AD191" s="631"/>
      <c r="AF191" s="627">
        <v>0</v>
      </c>
      <c r="AG191" s="627"/>
      <c r="AH191" s="627"/>
      <c r="AI191" s="627"/>
      <c r="AJ191" s="627"/>
      <c r="AK191" s="627"/>
      <c r="AL191" s="627"/>
    </row>
    <row r="192" spans="1:38" ht="11.1" customHeight="1" x14ac:dyDescent="0.25">
      <c r="A192" s="630" t="s">
        <v>3508</v>
      </c>
      <c r="B192" s="630"/>
      <c r="C192" s="630"/>
      <c r="M192" s="630" t="s">
        <v>505</v>
      </c>
      <c r="N192" s="630"/>
      <c r="O192" s="630"/>
      <c r="P192" s="630"/>
      <c r="Q192" s="627">
        <v>0</v>
      </c>
      <c r="R192" s="627"/>
      <c r="T192" s="631">
        <v>278.79000000000002</v>
      </c>
      <c r="U192" s="631"/>
      <c r="V192" s="631"/>
      <c r="Y192" s="631">
        <v>278.79000000000002</v>
      </c>
      <c r="Z192" s="631"/>
      <c r="AA192" s="631"/>
      <c r="AB192" s="631"/>
      <c r="AC192" s="631"/>
      <c r="AD192" s="631"/>
      <c r="AF192" s="627">
        <v>0</v>
      </c>
      <c r="AG192" s="627"/>
      <c r="AH192" s="627"/>
      <c r="AI192" s="627"/>
      <c r="AJ192" s="627"/>
      <c r="AK192" s="627"/>
      <c r="AL192" s="627"/>
    </row>
    <row r="193" spans="1:38" ht="11.1" customHeight="1" x14ac:dyDescent="0.25">
      <c r="A193" s="630" t="s">
        <v>3509</v>
      </c>
      <c r="B193" s="630"/>
      <c r="C193" s="630"/>
      <c r="M193" s="630" t="s">
        <v>507</v>
      </c>
      <c r="N193" s="630"/>
      <c r="O193" s="630"/>
      <c r="P193" s="630"/>
      <c r="Q193" s="627">
        <v>16735.240000000002</v>
      </c>
      <c r="R193" s="627"/>
      <c r="T193" s="631">
        <v>27285.23</v>
      </c>
      <c r="U193" s="631"/>
      <c r="V193" s="631"/>
      <c r="Y193" s="631">
        <v>16735.240000000002</v>
      </c>
      <c r="Z193" s="631"/>
      <c r="AA193" s="631"/>
      <c r="AB193" s="631"/>
      <c r="AC193" s="631"/>
      <c r="AD193" s="631"/>
      <c r="AF193" s="627">
        <v>27285.23</v>
      </c>
      <c r="AG193" s="627"/>
      <c r="AH193" s="627"/>
      <c r="AI193" s="627"/>
      <c r="AJ193" s="627"/>
      <c r="AK193" s="627"/>
      <c r="AL193" s="627"/>
    </row>
    <row r="194" spans="1:38" ht="11.1" customHeight="1" x14ac:dyDescent="0.25">
      <c r="A194" s="630" t="s">
        <v>3510</v>
      </c>
      <c r="B194" s="630"/>
      <c r="C194" s="630"/>
      <c r="M194" s="630" t="s">
        <v>509</v>
      </c>
      <c r="N194" s="630"/>
      <c r="O194" s="630"/>
      <c r="P194" s="630"/>
      <c r="Q194" s="627">
        <v>2794.78</v>
      </c>
      <c r="R194" s="627"/>
      <c r="T194" s="631">
        <v>3069.71</v>
      </c>
      <c r="U194" s="631"/>
      <c r="V194" s="631"/>
      <c r="Y194" s="631">
        <v>2794.78</v>
      </c>
      <c r="Z194" s="631"/>
      <c r="AA194" s="631"/>
      <c r="AB194" s="631"/>
      <c r="AC194" s="631"/>
      <c r="AD194" s="631"/>
      <c r="AF194" s="627">
        <v>3069.71</v>
      </c>
      <c r="AG194" s="627"/>
      <c r="AH194" s="627"/>
      <c r="AI194" s="627"/>
      <c r="AJ194" s="627"/>
      <c r="AK194" s="627"/>
      <c r="AL194" s="627"/>
    </row>
    <row r="195" spans="1:38" ht="11.1" customHeight="1" x14ac:dyDescent="0.25">
      <c r="A195" s="630" t="s">
        <v>3511</v>
      </c>
      <c r="B195" s="630"/>
      <c r="C195" s="630"/>
      <c r="M195" s="630" t="s">
        <v>511</v>
      </c>
      <c r="N195" s="630"/>
      <c r="O195" s="630"/>
      <c r="P195" s="630"/>
      <c r="Q195" s="627">
        <v>0</v>
      </c>
      <c r="R195" s="627"/>
      <c r="T195" s="631">
        <v>35.380000000000003</v>
      </c>
      <c r="U195" s="631"/>
      <c r="V195" s="631"/>
      <c r="Y195" s="631">
        <v>35.380000000000003</v>
      </c>
      <c r="Z195" s="631"/>
      <c r="AA195" s="631"/>
      <c r="AB195" s="631"/>
      <c r="AC195" s="631"/>
      <c r="AD195" s="631"/>
      <c r="AF195" s="627">
        <v>0</v>
      </c>
      <c r="AG195" s="627"/>
      <c r="AH195" s="627"/>
      <c r="AI195" s="627"/>
      <c r="AJ195" s="627"/>
      <c r="AK195" s="627"/>
      <c r="AL195" s="627"/>
    </row>
    <row r="196" spans="1:38" ht="11.1" customHeight="1" x14ac:dyDescent="0.25">
      <c r="A196" s="630" t="s">
        <v>3512</v>
      </c>
      <c r="B196" s="630"/>
      <c r="C196" s="630"/>
      <c r="L196" s="630" t="s">
        <v>302</v>
      </c>
      <c r="M196" s="630"/>
      <c r="N196" s="630"/>
      <c r="O196" s="630"/>
      <c r="P196" s="630"/>
      <c r="Q196" s="627">
        <v>1410.53</v>
      </c>
      <c r="R196" s="627"/>
      <c r="T196" s="631">
        <v>152.51</v>
      </c>
      <c r="U196" s="631"/>
      <c r="V196" s="631"/>
      <c r="Y196" s="631">
        <v>0</v>
      </c>
      <c r="Z196" s="631"/>
      <c r="AA196" s="631"/>
      <c r="AB196" s="631"/>
      <c r="AC196" s="631"/>
      <c r="AD196" s="631"/>
      <c r="AF196" s="627">
        <v>1563.04</v>
      </c>
      <c r="AG196" s="627"/>
      <c r="AH196" s="627"/>
      <c r="AI196" s="627"/>
      <c r="AJ196" s="627"/>
      <c r="AK196" s="627"/>
      <c r="AL196" s="627"/>
    </row>
    <row r="197" spans="1:38" ht="11.1" customHeight="1" x14ac:dyDescent="0.25">
      <c r="A197" s="630" t="s">
        <v>3513</v>
      </c>
      <c r="B197" s="630"/>
      <c r="C197" s="630"/>
      <c r="M197" s="630" t="s">
        <v>2425</v>
      </c>
      <c r="N197" s="630"/>
      <c r="O197" s="630"/>
      <c r="P197" s="630"/>
      <c r="Q197" s="627">
        <v>1410.53</v>
      </c>
      <c r="R197" s="627"/>
      <c r="T197" s="631">
        <v>152.51</v>
      </c>
      <c r="U197" s="631"/>
      <c r="V197" s="631"/>
      <c r="Y197" s="631">
        <v>0</v>
      </c>
      <c r="Z197" s="631"/>
      <c r="AA197" s="631"/>
      <c r="AB197" s="631"/>
      <c r="AC197" s="631"/>
      <c r="AD197" s="631"/>
      <c r="AF197" s="627">
        <v>1563.04</v>
      </c>
      <c r="AG197" s="627"/>
      <c r="AH197" s="627"/>
      <c r="AI197" s="627"/>
      <c r="AJ197" s="627"/>
      <c r="AK197" s="627"/>
      <c r="AL197" s="627"/>
    </row>
    <row r="198" spans="1:38" ht="11.1" customHeight="1" x14ac:dyDescent="0.25">
      <c r="A198" s="632" t="s">
        <v>3514</v>
      </c>
      <c r="B198" s="632"/>
      <c r="C198" s="632"/>
      <c r="J198" s="632" t="s">
        <v>513</v>
      </c>
      <c r="K198" s="632"/>
      <c r="L198" s="632"/>
      <c r="M198" s="632"/>
      <c r="N198" s="632"/>
      <c r="O198" s="632"/>
      <c r="P198" s="632"/>
      <c r="Q198" s="633">
        <v>196407.41</v>
      </c>
      <c r="R198" s="633"/>
      <c r="T198" s="634">
        <v>769.49</v>
      </c>
      <c r="U198" s="634"/>
      <c r="V198" s="634"/>
      <c r="Y198" s="634">
        <v>87354.48</v>
      </c>
      <c r="Z198" s="634"/>
      <c r="AA198" s="634"/>
      <c r="AB198" s="634"/>
      <c r="AC198" s="634"/>
      <c r="AD198" s="634"/>
      <c r="AF198" s="633">
        <v>109822.42</v>
      </c>
      <c r="AG198" s="633"/>
      <c r="AH198" s="633"/>
      <c r="AI198" s="633"/>
      <c r="AJ198" s="633"/>
      <c r="AK198" s="633"/>
      <c r="AL198" s="633"/>
    </row>
    <row r="199" spans="1:38" ht="11.1" customHeight="1" x14ac:dyDescent="0.25">
      <c r="A199" s="630" t="s">
        <v>3515</v>
      </c>
      <c r="B199" s="630"/>
      <c r="C199" s="630"/>
      <c r="K199" s="630" t="s">
        <v>513</v>
      </c>
      <c r="L199" s="630"/>
      <c r="M199" s="630"/>
      <c r="N199" s="630"/>
      <c r="O199" s="630"/>
      <c r="P199" s="630"/>
      <c r="Q199" s="627">
        <v>0</v>
      </c>
      <c r="R199" s="627"/>
      <c r="T199" s="631">
        <v>769.49</v>
      </c>
      <c r="U199" s="631"/>
      <c r="V199" s="631"/>
      <c r="Y199" s="631">
        <v>769.49</v>
      </c>
      <c r="Z199" s="631"/>
      <c r="AA199" s="631"/>
      <c r="AB199" s="631"/>
      <c r="AC199" s="631"/>
      <c r="AD199" s="631"/>
      <c r="AF199" s="627">
        <v>0</v>
      </c>
      <c r="AG199" s="627"/>
      <c r="AH199" s="627"/>
      <c r="AI199" s="627"/>
      <c r="AJ199" s="627"/>
      <c r="AK199" s="627"/>
      <c r="AL199" s="627"/>
    </row>
    <row r="200" spans="1:38" ht="11.1" customHeight="1" x14ac:dyDescent="0.25">
      <c r="A200" s="630" t="s">
        <v>3516</v>
      </c>
      <c r="B200" s="630"/>
      <c r="C200" s="630"/>
      <c r="L200" s="630" t="s">
        <v>513</v>
      </c>
      <c r="M200" s="630"/>
      <c r="N200" s="630"/>
      <c r="O200" s="630"/>
      <c r="P200" s="630"/>
      <c r="Q200" s="627">
        <v>0</v>
      </c>
      <c r="R200" s="627"/>
      <c r="T200" s="631">
        <v>769.49</v>
      </c>
      <c r="U200" s="631"/>
      <c r="V200" s="631"/>
      <c r="Y200" s="631">
        <v>769.49</v>
      </c>
      <c r="Z200" s="631"/>
      <c r="AA200" s="631"/>
      <c r="AB200" s="631"/>
      <c r="AC200" s="631"/>
      <c r="AD200" s="631"/>
      <c r="AF200" s="627">
        <v>0</v>
      </c>
      <c r="AG200" s="627"/>
      <c r="AH200" s="627"/>
      <c r="AI200" s="627"/>
      <c r="AJ200" s="627"/>
      <c r="AK200" s="627"/>
      <c r="AL200" s="627"/>
    </row>
    <row r="201" spans="1:38" ht="11.1" customHeight="1" x14ac:dyDescent="0.25">
      <c r="A201" s="630" t="s">
        <v>3517</v>
      </c>
      <c r="B201" s="630"/>
      <c r="C201" s="630"/>
      <c r="M201" s="630" t="s">
        <v>517</v>
      </c>
      <c r="N201" s="630"/>
      <c r="O201" s="630"/>
      <c r="P201" s="630"/>
      <c r="Q201" s="627">
        <v>0</v>
      </c>
      <c r="R201" s="627"/>
      <c r="T201" s="631">
        <v>769.49</v>
      </c>
      <c r="U201" s="631"/>
      <c r="V201" s="631"/>
      <c r="Y201" s="631">
        <v>769.49</v>
      </c>
      <c r="Z201" s="631"/>
      <c r="AA201" s="631"/>
      <c r="AB201" s="631"/>
      <c r="AC201" s="631"/>
      <c r="AD201" s="631"/>
      <c r="AF201" s="627">
        <v>0</v>
      </c>
      <c r="AG201" s="627"/>
      <c r="AH201" s="627"/>
      <c r="AI201" s="627"/>
      <c r="AJ201" s="627"/>
      <c r="AK201" s="627"/>
      <c r="AL201" s="627"/>
    </row>
    <row r="202" spans="1:38" ht="11.1" customHeight="1" x14ac:dyDescent="0.25">
      <c r="A202" s="630" t="s">
        <v>3518</v>
      </c>
      <c r="B202" s="630"/>
      <c r="C202" s="630"/>
      <c r="K202" s="630" t="s">
        <v>520</v>
      </c>
      <c r="L202" s="630"/>
      <c r="M202" s="630"/>
      <c r="N202" s="630"/>
      <c r="O202" s="630"/>
      <c r="P202" s="630"/>
      <c r="Q202" s="627">
        <v>196407.41</v>
      </c>
      <c r="R202" s="627"/>
      <c r="T202" s="631">
        <v>0</v>
      </c>
      <c r="U202" s="631"/>
      <c r="V202" s="631"/>
      <c r="Y202" s="631">
        <v>86584.99</v>
      </c>
      <c r="Z202" s="631"/>
      <c r="AA202" s="631"/>
      <c r="AB202" s="631"/>
      <c r="AC202" s="631"/>
      <c r="AD202" s="631"/>
      <c r="AF202" s="627">
        <v>109822.42</v>
      </c>
      <c r="AG202" s="627"/>
      <c r="AH202" s="627"/>
      <c r="AI202" s="627"/>
      <c r="AJ202" s="627"/>
      <c r="AK202" s="627"/>
      <c r="AL202" s="627"/>
    </row>
    <row r="203" spans="1:38" ht="11.1" customHeight="1" x14ac:dyDescent="0.25">
      <c r="A203" s="630" t="s">
        <v>3519</v>
      </c>
      <c r="B203" s="630"/>
      <c r="C203" s="630"/>
      <c r="L203" s="630" t="s">
        <v>302</v>
      </c>
      <c r="M203" s="630"/>
      <c r="N203" s="630"/>
      <c r="O203" s="630"/>
      <c r="P203" s="630"/>
      <c r="Q203" s="627">
        <v>196407.41</v>
      </c>
      <c r="R203" s="627"/>
      <c r="T203" s="631">
        <v>0</v>
      </c>
      <c r="U203" s="631"/>
      <c r="V203" s="631"/>
      <c r="Y203" s="631">
        <v>86584.99</v>
      </c>
      <c r="Z203" s="631"/>
      <c r="AA203" s="631"/>
      <c r="AB203" s="631"/>
      <c r="AC203" s="631"/>
      <c r="AD203" s="631"/>
      <c r="AF203" s="627">
        <v>109822.42</v>
      </c>
      <c r="AG203" s="627"/>
      <c r="AH203" s="627"/>
      <c r="AI203" s="627"/>
      <c r="AJ203" s="627"/>
      <c r="AK203" s="627"/>
      <c r="AL203" s="627"/>
    </row>
    <row r="204" spans="1:38" ht="11.1" customHeight="1" x14ac:dyDescent="0.25">
      <c r="A204" s="630" t="s">
        <v>3520</v>
      </c>
      <c r="B204" s="630"/>
      <c r="C204" s="630"/>
      <c r="M204" s="630" t="s">
        <v>523</v>
      </c>
      <c r="N204" s="630"/>
      <c r="O204" s="630"/>
      <c r="P204" s="630"/>
      <c r="Q204" s="627">
        <v>196407.41</v>
      </c>
      <c r="R204" s="627"/>
      <c r="T204" s="631">
        <v>0</v>
      </c>
      <c r="U204" s="631"/>
      <c r="V204" s="631"/>
      <c r="Y204" s="631">
        <v>86584.99</v>
      </c>
      <c r="Z204" s="631"/>
      <c r="AA204" s="631"/>
      <c r="AB204" s="631"/>
      <c r="AC204" s="631"/>
      <c r="AD204" s="631"/>
      <c r="AF204" s="627">
        <v>109822.42</v>
      </c>
      <c r="AG204" s="627"/>
      <c r="AH204" s="627"/>
      <c r="AI204" s="627"/>
      <c r="AJ204" s="627"/>
      <c r="AK204" s="627"/>
      <c r="AL204" s="627"/>
    </row>
    <row r="205" spans="1:38" ht="11.1" customHeight="1" x14ac:dyDescent="0.25">
      <c r="A205" s="632" t="s">
        <v>3521</v>
      </c>
      <c r="B205" s="632"/>
      <c r="C205" s="632"/>
      <c r="J205" s="632" t="s">
        <v>2223</v>
      </c>
      <c r="K205" s="632"/>
      <c r="L205" s="632"/>
      <c r="M205" s="632"/>
      <c r="N205" s="632"/>
      <c r="O205" s="632"/>
      <c r="P205" s="632"/>
      <c r="Q205" s="633">
        <v>5130180.82</v>
      </c>
      <c r="R205" s="633"/>
      <c r="T205" s="634">
        <v>977196.9</v>
      </c>
      <c r="U205" s="634"/>
      <c r="V205" s="634"/>
      <c r="Y205" s="634">
        <v>4857512.9000000004</v>
      </c>
      <c r="Z205" s="634"/>
      <c r="AA205" s="634"/>
      <c r="AB205" s="634"/>
      <c r="AC205" s="634"/>
      <c r="AD205" s="634"/>
      <c r="AF205" s="633">
        <v>1249864.82</v>
      </c>
      <c r="AG205" s="633"/>
      <c r="AH205" s="633"/>
      <c r="AI205" s="633"/>
      <c r="AJ205" s="633"/>
      <c r="AK205" s="633"/>
      <c r="AL205" s="633"/>
    </row>
    <row r="206" spans="1:38" ht="11.1" customHeight="1" x14ac:dyDescent="0.25">
      <c r="A206" s="630" t="s">
        <v>3522</v>
      </c>
      <c r="B206" s="630"/>
      <c r="C206" s="630"/>
      <c r="M206" s="630" t="s">
        <v>2225</v>
      </c>
      <c r="N206" s="630"/>
      <c r="O206" s="630"/>
      <c r="P206" s="630"/>
      <c r="Q206" s="627">
        <v>0</v>
      </c>
      <c r="R206" s="627"/>
      <c r="T206" s="631">
        <v>977196.9</v>
      </c>
      <c r="U206" s="631"/>
      <c r="V206" s="631"/>
      <c r="Y206" s="631">
        <v>977196.9</v>
      </c>
      <c r="Z206" s="631"/>
      <c r="AA206" s="631"/>
      <c r="AB206" s="631"/>
      <c r="AC206" s="631"/>
      <c r="AD206" s="631"/>
      <c r="AF206" s="627">
        <v>0</v>
      </c>
      <c r="AG206" s="627"/>
      <c r="AH206" s="627"/>
      <c r="AI206" s="627"/>
      <c r="AJ206" s="627"/>
      <c r="AK206" s="627"/>
      <c r="AL206" s="627"/>
    </row>
    <row r="207" spans="1:38" ht="11.1" customHeight="1" x14ac:dyDescent="0.25">
      <c r="A207" s="630" t="s">
        <v>3523</v>
      </c>
      <c r="B207" s="630"/>
      <c r="C207" s="630"/>
      <c r="M207" s="630" t="s">
        <v>2227</v>
      </c>
      <c r="N207" s="630"/>
      <c r="O207" s="630"/>
      <c r="P207" s="630"/>
      <c r="Q207" s="627">
        <v>5130180.82</v>
      </c>
      <c r="R207" s="627"/>
      <c r="T207" s="631">
        <v>0</v>
      </c>
      <c r="U207" s="631"/>
      <c r="V207" s="631"/>
      <c r="Y207" s="631">
        <v>3880316</v>
      </c>
      <c r="Z207" s="631"/>
      <c r="AA207" s="631"/>
      <c r="AB207" s="631"/>
      <c r="AC207" s="631"/>
      <c r="AD207" s="631"/>
      <c r="AF207" s="627">
        <v>1249864.82</v>
      </c>
      <c r="AG207" s="627"/>
      <c r="AH207" s="627"/>
      <c r="AI207" s="627"/>
      <c r="AJ207" s="627"/>
      <c r="AK207" s="627"/>
      <c r="AL207" s="627"/>
    </row>
    <row r="208" spans="1:38" ht="11.1" customHeight="1" x14ac:dyDescent="0.25">
      <c r="A208" s="632" t="s">
        <v>3524</v>
      </c>
      <c r="B208" s="632"/>
      <c r="C208" s="632"/>
      <c r="J208" s="632" t="s">
        <v>331</v>
      </c>
      <c r="K208" s="632"/>
      <c r="L208" s="632"/>
      <c r="M208" s="632"/>
      <c r="N208" s="632"/>
      <c r="O208" s="632"/>
      <c r="P208" s="632"/>
      <c r="Q208" s="633">
        <v>35680.519999999997</v>
      </c>
      <c r="R208" s="633"/>
      <c r="T208" s="634">
        <v>275155.05</v>
      </c>
      <c r="U208" s="634"/>
      <c r="V208" s="634"/>
      <c r="Y208" s="634">
        <v>280167.93</v>
      </c>
      <c r="Z208" s="634"/>
      <c r="AA208" s="634"/>
      <c r="AB208" s="634"/>
      <c r="AC208" s="634"/>
      <c r="AD208" s="634"/>
      <c r="AF208" s="633">
        <v>30667.64</v>
      </c>
      <c r="AG208" s="633"/>
      <c r="AH208" s="633"/>
      <c r="AI208" s="633"/>
      <c r="AJ208" s="633"/>
      <c r="AK208" s="633"/>
      <c r="AL208" s="633"/>
    </row>
    <row r="209" spans="1:38" ht="11.1" customHeight="1" x14ac:dyDescent="0.25">
      <c r="A209" s="630" t="s">
        <v>3525</v>
      </c>
      <c r="B209" s="630"/>
      <c r="C209" s="630"/>
      <c r="K209" s="630" t="s">
        <v>526</v>
      </c>
      <c r="L209" s="630"/>
      <c r="M209" s="630"/>
      <c r="N209" s="630"/>
      <c r="O209" s="630"/>
      <c r="P209" s="630"/>
      <c r="Q209" s="627">
        <v>35680.519999999997</v>
      </c>
      <c r="R209" s="627"/>
      <c r="T209" s="631">
        <v>275155.05</v>
      </c>
      <c r="U209" s="631"/>
      <c r="V209" s="631"/>
      <c r="Y209" s="631">
        <v>280167.93</v>
      </c>
      <c r="Z209" s="631"/>
      <c r="AA209" s="631"/>
      <c r="AB209" s="631"/>
      <c r="AC209" s="631"/>
      <c r="AD209" s="631"/>
      <c r="AF209" s="627">
        <v>30667.64</v>
      </c>
      <c r="AG209" s="627"/>
      <c r="AH209" s="627"/>
      <c r="AI209" s="627"/>
      <c r="AJ209" s="627"/>
      <c r="AK209" s="627"/>
      <c r="AL209" s="627"/>
    </row>
    <row r="210" spans="1:38" ht="11.1" customHeight="1" x14ac:dyDescent="0.25">
      <c r="A210" s="630" t="s">
        <v>3526</v>
      </c>
      <c r="B210" s="630"/>
      <c r="C210" s="630"/>
      <c r="L210" s="630" t="s">
        <v>526</v>
      </c>
      <c r="M210" s="630"/>
      <c r="N210" s="630"/>
      <c r="O210" s="630"/>
      <c r="P210" s="630"/>
      <c r="Q210" s="627">
        <v>0</v>
      </c>
      <c r="R210" s="627"/>
      <c r="T210" s="631">
        <v>220786.66</v>
      </c>
      <c r="U210" s="631"/>
      <c r="V210" s="631"/>
      <c r="Y210" s="631">
        <v>220786.66</v>
      </c>
      <c r="Z210" s="631"/>
      <c r="AA210" s="631"/>
      <c r="AB210" s="631"/>
      <c r="AC210" s="631"/>
      <c r="AD210" s="631"/>
      <c r="AF210" s="627">
        <v>0</v>
      </c>
      <c r="AG210" s="627"/>
      <c r="AH210" s="627"/>
      <c r="AI210" s="627"/>
      <c r="AJ210" s="627"/>
      <c r="AK210" s="627"/>
      <c r="AL210" s="627"/>
    </row>
    <row r="211" spans="1:38" ht="11.1" customHeight="1" x14ac:dyDescent="0.25">
      <c r="A211" s="630" t="s">
        <v>3527</v>
      </c>
      <c r="B211" s="630"/>
      <c r="C211" s="630"/>
      <c r="M211" s="630" t="s">
        <v>2272</v>
      </c>
      <c r="N211" s="630"/>
      <c r="O211" s="630"/>
      <c r="P211" s="630"/>
      <c r="Q211" s="627">
        <v>0</v>
      </c>
      <c r="R211" s="627"/>
      <c r="T211" s="631">
        <v>220786.66</v>
      </c>
      <c r="U211" s="631"/>
      <c r="V211" s="631"/>
      <c r="Y211" s="631">
        <v>220786.66</v>
      </c>
      <c r="Z211" s="631"/>
      <c r="AA211" s="631"/>
      <c r="AB211" s="631"/>
      <c r="AC211" s="631"/>
      <c r="AD211" s="631"/>
      <c r="AF211" s="627">
        <v>0</v>
      </c>
      <c r="AG211" s="627"/>
      <c r="AH211" s="627"/>
      <c r="AI211" s="627"/>
      <c r="AJ211" s="627"/>
      <c r="AK211" s="627"/>
      <c r="AL211" s="627"/>
    </row>
    <row r="212" spans="1:38" ht="11.1" customHeight="1" x14ac:dyDescent="0.25">
      <c r="A212" s="630" t="s">
        <v>3528</v>
      </c>
      <c r="B212" s="630"/>
      <c r="C212" s="630"/>
      <c r="L212" s="630" t="s">
        <v>529</v>
      </c>
      <c r="M212" s="630"/>
      <c r="N212" s="630"/>
      <c r="O212" s="630"/>
      <c r="P212" s="630"/>
      <c r="Q212" s="627">
        <v>35680.519999999997</v>
      </c>
      <c r="R212" s="627"/>
      <c r="T212" s="631">
        <v>54368.39</v>
      </c>
      <c r="U212" s="631"/>
      <c r="V212" s="631"/>
      <c r="Y212" s="631">
        <v>59381.27</v>
      </c>
      <c r="Z212" s="631"/>
      <c r="AA212" s="631"/>
      <c r="AB212" s="631"/>
      <c r="AC212" s="631"/>
      <c r="AD212" s="631"/>
      <c r="AF212" s="627">
        <v>30667.64</v>
      </c>
      <c r="AG212" s="627"/>
      <c r="AH212" s="627"/>
      <c r="AI212" s="627"/>
      <c r="AJ212" s="627"/>
      <c r="AK212" s="627"/>
      <c r="AL212" s="627"/>
    </row>
    <row r="213" spans="1:38" ht="11.1" customHeight="1" x14ac:dyDescent="0.25">
      <c r="A213" s="630" t="s">
        <v>3529</v>
      </c>
      <c r="B213" s="630"/>
      <c r="C213" s="630"/>
      <c r="M213" s="630" t="s">
        <v>497</v>
      </c>
      <c r="N213" s="630"/>
      <c r="O213" s="630"/>
      <c r="P213" s="630"/>
      <c r="Q213" s="627">
        <v>0</v>
      </c>
      <c r="R213" s="627"/>
      <c r="T213" s="631">
        <v>29188.82</v>
      </c>
      <c r="U213" s="631"/>
      <c r="V213" s="631"/>
      <c r="Y213" s="631">
        <v>29188.82</v>
      </c>
      <c r="Z213" s="631"/>
      <c r="AA213" s="631"/>
      <c r="AB213" s="631"/>
      <c r="AC213" s="631"/>
      <c r="AD213" s="631"/>
      <c r="AF213" s="627">
        <v>0</v>
      </c>
      <c r="AG213" s="627"/>
      <c r="AH213" s="627"/>
      <c r="AI213" s="627"/>
      <c r="AJ213" s="627"/>
      <c r="AK213" s="627"/>
      <c r="AL213" s="627"/>
    </row>
    <row r="214" spans="1:38" ht="11.1" customHeight="1" x14ac:dyDescent="0.25">
      <c r="A214" s="630" t="s">
        <v>3530</v>
      </c>
      <c r="B214" s="630"/>
      <c r="C214" s="630"/>
      <c r="M214" s="630" t="s">
        <v>501</v>
      </c>
      <c r="N214" s="630"/>
      <c r="O214" s="630"/>
      <c r="P214" s="630"/>
      <c r="Q214" s="627">
        <v>0</v>
      </c>
      <c r="R214" s="627"/>
      <c r="T214" s="631">
        <v>729.73</v>
      </c>
      <c r="U214" s="631"/>
      <c r="V214" s="631"/>
      <c r="Y214" s="631">
        <v>729.73</v>
      </c>
      <c r="Z214" s="631"/>
      <c r="AA214" s="631"/>
      <c r="AB214" s="631"/>
      <c r="AC214" s="631"/>
      <c r="AD214" s="631"/>
      <c r="AF214" s="627">
        <v>0</v>
      </c>
      <c r="AG214" s="627"/>
      <c r="AH214" s="627"/>
      <c r="AI214" s="627"/>
      <c r="AJ214" s="627"/>
      <c r="AK214" s="627"/>
      <c r="AL214" s="627"/>
    </row>
    <row r="215" spans="1:38" ht="11.1" customHeight="1" x14ac:dyDescent="0.25">
      <c r="A215" s="630" t="s">
        <v>3531</v>
      </c>
      <c r="B215" s="630"/>
      <c r="C215" s="630"/>
      <c r="M215" s="630" t="s">
        <v>503</v>
      </c>
      <c r="N215" s="630"/>
      <c r="O215" s="630"/>
      <c r="P215" s="630"/>
      <c r="Q215" s="627">
        <v>0</v>
      </c>
      <c r="R215" s="627"/>
      <c r="T215" s="631">
        <v>66.72</v>
      </c>
      <c r="U215" s="631"/>
      <c r="V215" s="631"/>
      <c r="Y215" s="631">
        <v>66.72</v>
      </c>
      <c r="Z215" s="631"/>
      <c r="AA215" s="631"/>
      <c r="AB215" s="631"/>
      <c r="AC215" s="631"/>
      <c r="AD215" s="631"/>
      <c r="AF215" s="627">
        <v>0</v>
      </c>
      <c r="AG215" s="627"/>
      <c r="AH215" s="627"/>
      <c r="AI215" s="627"/>
      <c r="AJ215" s="627"/>
      <c r="AK215" s="627"/>
      <c r="AL215" s="627"/>
    </row>
    <row r="216" spans="1:38" ht="11.1" customHeight="1" x14ac:dyDescent="0.25">
      <c r="A216" s="630" t="s">
        <v>3532</v>
      </c>
      <c r="B216" s="630"/>
      <c r="C216" s="630"/>
      <c r="M216" s="630" t="s">
        <v>499</v>
      </c>
      <c r="N216" s="630"/>
      <c r="O216" s="630"/>
      <c r="P216" s="630"/>
      <c r="Q216" s="627">
        <v>35680.519999999997</v>
      </c>
      <c r="R216" s="627"/>
      <c r="T216" s="631">
        <v>0</v>
      </c>
      <c r="U216" s="631"/>
      <c r="V216" s="631"/>
      <c r="Y216" s="631">
        <v>29396</v>
      </c>
      <c r="Z216" s="631"/>
      <c r="AA216" s="631"/>
      <c r="AB216" s="631"/>
      <c r="AC216" s="631"/>
      <c r="AD216" s="631"/>
      <c r="AF216" s="627">
        <v>6284.52</v>
      </c>
      <c r="AG216" s="627"/>
      <c r="AH216" s="627"/>
      <c r="AI216" s="627"/>
      <c r="AJ216" s="627"/>
      <c r="AK216" s="627"/>
      <c r="AL216" s="627"/>
    </row>
    <row r="217" spans="1:38" ht="11.1" customHeight="1" x14ac:dyDescent="0.25">
      <c r="A217" s="630" t="s">
        <v>3533</v>
      </c>
      <c r="B217" s="630"/>
      <c r="C217" s="630"/>
      <c r="M217" s="630" t="s">
        <v>2804</v>
      </c>
      <c r="N217" s="630"/>
      <c r="O217" s="630"/>
      <c r="P217" s="630"/>
      <c r="Q217" s="627">
        <v>0</v>
      </c>
      <c r="R217" s="627"/>
      <c r="T217" s="631">
        <v>21411.98</v>
      </c>
      <c r="U217" s="631"/>
      <c r="V217" s="631"/>
      <c r="Y217" s="631">
        <v>0</v>
      </c>
      <c r="Z217" s="631"/>
      <c r="AA217" s="631"/>
      <c r="AB217" s="631"/>
      <c r="AC217" s="631"/>
      <c r="AD217" s="631"/>
      <c r="AF217" s="627">
        <v>21411.98</v>
      </c>
      <c r="AG217" s="627"/>
      <c r="AH217" s="627"/>
      <c r="AI217" s="627"/>
      <c r="AJ217" s="627"/>
      <c r="AK217" s="627"/>
      <c r="AL217" s="627"/>
    </row>
    <row r="218" spans="1:38" ht="11.1" customHeight="1" x14ac:dyDescent="0.25">
      <c r="A218" s="630" t="s">
        <v>3534</v>
      </c>
      <c r="B218" s="630"/>
      <c r="C218" s="630"/>
      <c r="M218" s="630" t="s">
        <v>2806</v>
      </c>
      <c r="N218" s="630"/>
      <c r="O218" s="630"/>
      <c r="P218" s="630"/>
      <c r="Q218" s="627">
        <v>0</v>
      </c>
      <c r="R218" s="627"/>
      <c r="T218" s="631">
        <v>2971.14</v>
      </c>
      <c r="U218" s="631"/>
      <c r="V218" s="631"/>
      <c r="Y218" s="631">
        <v>0</v>
      </c>
      <c r="Z218" s="631"/>
      <c r="AA218" s="631"/>
      <c r="AB218" s="631"/>
      <c r="AC218" s="631"/>
      <c r="AD218" s="631"/>
      <c r="AF218" s="627">
        <v>2971.14</v>
      </c>
      <c r="AG218" s="627"/>
      <c r="AH218" s="627"/>
      <c r="AI218" s="627"/>
      <c r="AJ218" s="627"/>
      <c r="AK218" s="627"/>
      <c r="AL218" s="627"/>
    </row>
    <row r="219" spans="1:38" ht="11.1" customHeight="1" x14ac:dyDescent="0.25">
      <c r="A219" s="632" t="s">
        <v>3535</v>
      </c>
      <c r="B219" s="632"/>
      <c r="C219" s="632"/>
      <c r="H219" s="632" t="s">
        <v>535</v>
      </c>
      <c r="I219" s="632"/>
      <c r="J219" s="632"/>
      <c r="K219" s="632"/>
      <c r="L219" s="632"/>
      <c r="M219" s="632"/>
      <c r="N219" s="632"/>
      <c r="O219" s="632"/>
      <c r="P219" s="632"/>
      <c r="Q219" s="633">
        <v>260176419.91</v>
      </c>
      <c r="R219" s="633"/>
      <c r="T219" s="634">
        <v>13882601.199999999</v>
      </c>
      <c r="U219" s="634"/>
      <c r="V219" s="634"/>
      <c r="Y219" s="634">
        <v>8284162.3099999996</v>
      </c>
      <c r="Z219" s="634"/>
      <c r="AA219" s="634"/>
      <c r="AB219" s="634"/>
      <c r="AC219" s="634"/>
      <c r="AD219" s="634"/>
      <c r="AF219" s="633">
        <v>265774858.80000001</v>
      </c>
      <c r="AG219" s="633"/>
      <c r="AH219" s="633"/>
      <c r="AI219" s="633"/>
      <c r="AJ219" s="633"/>
      <c r="AK219" s="633"/>
      <c r="AL219" s="633"/>
    </row>
    <row r="220" spans="1:38" ht="11.1" customHeight="1" x14ac:dyDescent="0.25">
      <c r="A220" s="632" t="s">
        <v>3536</v>
      </c>
      <c r="B220" s="632"/>
      <c r="C220" s="632"/>
      <c r="H220" s="632" t="s">
        <v>411</v>
      </c>
      <c r="I220" s="632"/>
      <c r="J220" s="632"/>
      <c r="K220" s="632"/>
      <c r="L220" s="632"/>
      <c r="M220" s="632"/>
      <c r="N220" s="632"/>
      <c r="O220" s="632"/>
      <c r="P220" s="632"/>
      <c r="Q220" s="633">
        <v>28652</v>
      </c>
      <c r="R220" s="633"/>
      <c r="T220" s="634">
        <v>0</v>
      </c>
      <c r="U220" s="634"/>
      <c r="V220" s="634"/>
      <c r="Y220" s="634">
        <v>28652</v>
      </c>
      <c r="Z220" s="634"/>
      <c r="AA220" s="634"/>
      <c r="AB220" s="634"/>
      <c r="AC220" s="634"/>
      <c r="AD220" s="634"/>
      <c r="AF220" s="633">
        <v>0</v>
      </c>
      <c r="AG220" s="633"/>
      <c r="AH220" s="633"/>
      <c r="AI220" s="633"/>
      <c r="AJ220" s="633"/>
      <c r="AK220" s="633"/>
      <c r="AL220" s="633"/>
    </row>
    <row r="221" spans="1:38" ht="11.1" customHeight="1" x14ac:dyDescent="0.25">
      <c r="A221" s="632" t="s">
        <v>3537</v>
      </c>
      <c r="B221" s="632"/>
      <c r="C221" s="632"/>
      <c r="I221" s="632" t="s">
        <v>413</v>
      </c>
      <c r="J221" s="632"/>
      <c r="K221" s="632"/>
      <c r="L221" s="632"/>
      <c r="M221" s="632"/>
      <c r="N221" s="632"/>
      <c r="O221" s="632"/>
      <c r="P221" s="632"/>
      <c r="Q221" s="633">
        <v>28652</v>
      </c>
      <c r="R221" s="633"/>
      <c r="T221" s="634">
        <v>0</v>
      </c>
      <c r="U221" s="634"/>
      <c r="V221" s="634"/>
      <c r="Y221" s="634">
        <v>28652</v>
      </c>
      <c r="Z221" s="634"/>
      <c r="AA221" s="634"/>
      <c r="AB221" s="634"/>
      <c r="AC221" s="634"/>
      <c r="AD221" s="634"/>
      <c r="AF221" s="633">
        <v>0</v>
      </c>
      <c r="AG221" s="633"/>
      <c r="AH221" s="633"/>
      <c r="AI221" s="633"/>
      <c r="AJ221" s="633"/>
      <c r="AK221" s="633"/>
      <c r="AL221" s="633"/>
    </row>
    <row r="222" spans="1:38" ht="11.1" customHeight="1" x14ac:dyDescent="0.25">
      <c r="A222" s="632" t="s">
        <v>3538</v>
      </c>
      <c r="B222" s="632"/>
      <c r="C222" s="632"/>
      <c r="J222" s="632" t="s">
        <v>331</v>
      </c>
      <c r="K222" s="632"/>
      <c r="L222" s="632"/>
      <c r="M222" s="632"/>
      <c r="N222" s="632"/>
      <c r="O222" s="632"/>
      <c r="P222" s="632"/>
      <c r="Q222" s="633">
        <v>28652</v>
      </c>
      <c r="R222" s="633"/>
      <c r="T222" s="634">
        <v>0</v>
      </c>
      <c r="U222" s="634"/>
      <c r="V222" s="634"/>
      <c r="Y222" s="634">
        <v>28652</v>
      </c>
      <c r="Z222" s="634"/>
      <c r="AA222" s="634"/>
      <c r="AB222" s="634"/>
      <c r="AC222" s="634"/>
      <c r="AD222" s="634"/>
      <c r="AF222" s="633">
        <v>0</v>
      </c>
      <c r="AG222" s="633"/>
      <c r="AH222" s="633"/>
      <c r="AI222" s="633"/>
      <c r="AJ222" s="633"/>
      <c r="AK222" s="633"/>
      <c r="AL222" s="633"/>
    </row>
    <row r="223" spans="1:38" ht="11.1" customHeight="1" x14ac:dyDescent="0.25">
      <c r="A223" s="630" t="s">
        <v>3539</v>
      </c>
      <c r="B223" s="630"/>
      <c r="C223" s="630"/>
      <c r="K223" s="630" t="s">
        <v>2430</v>
      </c>
      <c r="L223" s="630"/>
      <c r="M223" s="630"/>
      <c r="N223" s="630"/>
      <c r="O223" s="630"/>
      <c r="P223" s="630"/>
      <c r="Q223" s="627">
        <v>28652</v>
      </c>
      <c r="R223" s="627"/>
      <c r="T223" s="631">
        <v>0</v>
      </c>
      <c r="U223" s="631"/>
      <c r="V223" s="631"/>
      <c r="Y223" s="631">
        <v>28652</v>
      </c>
      <c r="Z223" s="631"/>
      <c r="AA223" s="631"/>
      <c r="AB223" s="631"/>
      <c r="AC223" s="631"/>
      <c r="AD223" s="631"/>
      <c r="AF223" s="627">
        <v>0</v>
      </c>
      <c r="AG223" s="627"/>
      <c r="AH223" s="627"/>
      <c r="AI223" s="627"/>
      <c r="AJ223" s="627"/>
      <c r="AK223" s="627"/>
      <c r="AL223" s="627"/>
    </row>
    <row r="224" spans="1:38" ht="11.1" customHeight="1" x14ac:dyDescent="0.25">
      <c r="A224" s="630" t="s">
        <v>3540</v>
      </c>
      <c r="B224" s="630"/>
      <c r="C224" s="630"/>
      <c r="M224" s="630" t="s">
        <v>2808</v>
      </c>
      <c r="N224" s="630"/>
      <c r="O224" s="630"/>
      <c r="P224" s="630"/>
      <c r="Q224" s="627">
        <v>28652</v>
      </c>
      <c r="R224" s="627"/>
      <c r="T224" s="631">
        <v>0</v>
      </c>
      <c r="U224" s="631"/>
      <c r="V224" s="631"/>
      <c r="Y224" s="631">
        <v>28652</v>
      </c>
      <c r="Z224" s="631"/>
      <c r="AA224" s="631"/>
      <c r="AB224" s="631"/>
      <c r="AC224" s="631"/>
      <c r="AD224" s="631"/>
      <c r="AF224" s="627">
        <v>0</v>
      </c>
      <c r="AG224" s="627"/>
      <c r="AH224" s="627"/>
      <c r="AI224" s="627"/>
      <c r="AJ224" s="627"/>
      <c r="AK224" s="627"/>
      <c r="AL224" s="627"/>
    </row>
    <row r="225" spans="1:38" s="93" customFormat="1" ht="11.1" customHeight="1" x14ac:dyDescent="0.25">
      <c r="A225" s="635" t="s">
        <v>3541</v>
      </c>
      <c r="B225" s="635"/>
      <c r="C225" s="635"/>
      <c r="H225" s="635" t="s">
        <v>537</v>
      </c>
      <c r="I225" s="635"/>
      <c r="J225" s="635"/>
      <c r="K225" s="635"/>
      <c r="L225" s="635"/>
      <c r="M225" s="635"/>
      <c r="N225" s="635"/>
      <c r="O225" s="635"/>
      <c r="P225" s="635"/>
      <c r="Q225" s="636">
        <v>14055024.210000001</v>
      </c>
      <c r="R225" s="636"/>
      <c r="T225" s="637">
        <v>16338.12</v>
      </c>
      <c r="U225" s="637"/>
      <c r="V225" s="637"/>
      <c r="Y225" s="637">
        <v>869625.08</v>
      </c>
      <c r="Z225" s="637"/>
      <c r="AA225" s="637"/>
      <c r="AB225" s="637"/>
      <c r="AC225" s="637"/>
      <c r="AD225" s="637"/>
      <c r="AF225" s="636">
        <v>13201737.25</v>
      </c>
      <c r="AG225" s="636"/>
      <c r="AH225" s="636"/>
      <c r="AI225" s="636"/>
      <c r="AJ225" s="636"/>
      <c r="AK225" s="636"/>
      <c r="AL225" s="636"/>
    </row>
    <row r="226" spans="1:38" ht="11.1" customHeight="1" x14ac:dyDescent="0.25">
      <c r="A226" s="632" t="s">
        <v>3542</v>
      </c>
      <c r="B226" s="632"/>
      <c r="C226" s="632"/>
      <c r="I226" s="632" t="s">
        <v>415</v>
      </c>
      <c r="J226" s="632"/>
      <c r="K226" s="632"/>
      <c r="L226" s="632"/>
      <c r="M226" s="632"/>
      <c r="N226" s="632"/>
      <c r="O226" s="632"/>
      <c r="P226" s="632"/>
      <c r="Q226" s="633">
        <v>10334576.6</v>
      </c>
      <c r="R226" s="633"/>
      <c r="T226" s="634">
        <v>12013.35</v>
      </c>
      <c r="U226" s="634"/>
      <c r="V226" s="634"/>
      <c r="Y226" s="634">
        <v>639430.21</v>
      </c>
      <c r="Z226" s="634"/>
      <c r="AA226" s="634"/>
      <c r="AB226" s="634"/>
      <c r="AC226" s="634"/>
      <c r="AD226" s="634"/>
      <c r="AF226" s="633">
        <v>9707159.7400000002</v>
      </c>
      <c r="AG226" s="633"/>
      <c r="AH226" s="633"/>
      <c r="AI226" s="633"/>
      <c r="AJ226" s="633"/>
      <c r="AK226" s="633"/>
      <c r="AL226" s="633"/>
    </row>
    <row r="227" spans="1:38" ht="11.1" customHeight="1" x14ac:dyDescent="0.25">
      <c r="A227" s="632" t="s">
        <v>3543</v>
      </c>
      <c r="B227" s="632"/>
      <c r="C227" s="632"/>
      <c r="J227" s="632" t="s">
        <v>540</v>
      </c>
      <c r="K227" s="632"/>
      <c r="L227" s="632"/>
      <c r="M227" s="632"/>
      <c r="N227" s="632"/>
      <c r="O227" s="632"/>
      <c r="P227" s="632"/>
      <c r="Q227" s="633">
        <v>10334576.6</v>
      </c>
      <c r="R227" s="633"/>
      <c r="T227" s="634">
        <v>12013.35</v>
      </c>
      <c r="U227" s="634"/>
      <c r="V227" s="634"/>
      <c r="Y227" s="634">
        <v>639430.21</v>
      </c>
      <c r="Z227" s="634"/>
      <c r="AA227" s="634"/>
      <c r="AB227" s="634"/>
      <c r="AC227" s="634"/>
      <c r="AD227" s="634"/>
      <c r="AF227" s="633">
        <v>9707159.7400000002</v>
      </c>
      <c r="AG227" s="633"/>
      <c r="AH227" s="633"/>
      <c r="AI227" s="633"/>
      <c r="AJ227" s="633"/>
      <c r="AK227" s="633"/>
      <c r="AL227" s="633"/>
    </row>
    <row r="228" spans="1:38" ht="11.1" customHeight="1" x14ac:dyDescent="0.25">
      <c r="A228" s="630" t="s">
        <v>3544</v>
      </c>
      <c r="B228" s="630"/>
      <c r="C228" s="630"/>
      <c r="M228" s="630" t="s">
        <v>540</v>
      </c>
      <c r="N228" s="630"/>
      <c r="O228" s="630"/>
      <c r="P228" s="630"/>
      <c r="Q228" s="627">
        <v>10334576.6</v>
      </c>
      <c r="R228" s="627"/>
      <c r="T228" s="631">
        <v>12013.35</v>
      </c>
      <c r="U228" s="631"/>
      <c r="V228" s="631"/>
      <c r="Y228" s="631">
        <v>639430.21</v>
      </c>
      <c r="Z228" s="631"/>
      <c r="AA228" s="631"/>
      <c r="AB228" s="631"/>
      <c r="AC228" s="631"/>
      <c r="AD228" s="631"/>
      <c r="AF228" s="627">
        <v>9707159.7400000002</v>
      </c>
      <c r="AG228" s="627"/>
      <c r="AH228" s="627"/>
      <c r="AI228" s="627"/>
      <c r="AJ228" s="627"/>
      <c r="AK228" s="627"/>
      <c r="AL228" s="627"/>
    </row>
    <row r="229" spans="1:38" ht="11.1" customHeight="1" x14ac:dyDescent="0.25">
      <c r="A229" s="632" t="s">
        <v>3545</v>
      </c>
      <c r="B229" s="632"/>
      <c r="C229" s="632"/>
      <c r="I229" s="632" t="s">
        <v>421</v>
      </c>
      <c r="J229" s="632"/>
      <c r="K229" s="632"/>
      <c r="L229" s="632"/>
      <c r="M229" s="632"/>
      <c r="N229" s="632"/>
      <c r="O229" s="632"/>
      <c r="P229" s="632"/>
      <c r="Q229" s="633">
        <v>3720447.61</v>
      </c>
      <c r="R229" s="633"/>
      <c r="T229" s="634">
        <v>4324.7700000000004</v>
      </c>
      <c r="U229" s="634"/>
      <c r="V229" s="634"/>
      <c r="Y229" s="634">
        <v>230194.87</v>
      </c>
      <c r="Z229" s="634"/>
      <c r="AA229" s="634"/>
      <c r="AB229" s="634"/>
      <c r="AC229" s="634"/>
      <c r="AD229" s="634"/>
      <c r="AF229" s="633">
        <v>3494577.51</v>
      </c>
      <c r="AG229" s="633"/>
      <c r="AH229" s="633"/>
      <c r="AI229" s="633"/>
      <c r="AJ229" s="633"/>
      <c r="AK229" s="633"/>
      <c r="AL229" s="633"/>
    </row>
    <row r="230" spans="1:38" ht="11.1" customHeight="1" x14ac:dyDescent="0.25">
      <c r="A230" s="632" t="s">
        <v>3546</v>
      </c>
      <c r="B230" s="632"/>
      <c r="C230" s="632"/>
      <c r="J230" s="632" t="s">
        <v>540</v>
      </c>
      <c r="K230" s="632"/>
      <c r="L230" s="632"/>
      <c r="M230" s="632"/>
      <c r="N230" s="632"/>
      <c r="O230" s="632"/>
      <c r="P230" s="632"/>
      <c r="Q230" s="633">
        <v>3720447.61</v>
      </c>
      <c r="R230" s="633"/>
      <c r="T230" s="634">
        <v>4324.7700000000004</v>
      </c>
      <c r="U230" s="634"/>
      <c r="V230" s="634"/>
      <c r="Y230" s="634">
        <v>230194.87</v>
      </c>
      <c r="Z230" s="634"/>
      <c r="AA230" s="634"/>
      <c r="AB230" s="634"/>
      <c r="AC230" s="634"/>
      <c r="AD230" s="634"/>
      <c r="AF230" s="633">
        <v>3494577.51</v>
      </c>
      <c r="AG230" s="633"/>
      <c r="AH230" s="633"/>
      <c r="AI230" s="633"/>
      <c r="AJ230" s="633"/>
      <c r="AK230" s="633"/>
      <c r="AL230" s="633"/>
    </row>
    <row r="231" spans="1:38" ht="11.1" customHeight="1" x14ac:dyDescent="0.25">
      <c r="A231" s="630" t="s">
        <v>3547</v>
      </c>
      <c r="B231" s="630"/>
      <c r="C231" s="630"/>
      <c r="M231" s="630" t="s">
        <v>540</v>
      </c>
      <c r="N231" s="630"/>
      <c r="O231" s="630"/>
      <c r="P231" s="630"/>
      <c r="Q231" s="627">
        <v>3720447.61</v>
      </c>
      <c r="R231" s="627"/>
      <c r="T231" s="631">
        <v>4324.7700000000004</v>
      </c>
      <c r="U231" s="631"/>
      <c r="V231" s="631"/>
      <c r="Y231" s="631">
        <v>230194.87</v>
      </c>
      <c r="Z231" s="631"/>
      <c r="AA231" s="631"/>
      <c r="AB231" s="631"/>
      <c r="AC231" s="631"/>
      <c r="AD231" s="631"/>
      <c r="AF231" s="627">
        <v>3494577.51</v>
      </c>
      <c r="AG231" s="627"/>
      <c r="AH231" s="627"/>
      <c r="AI231" s="627"/>
      <c r="AJ231" s="627"/>
      <c r="AK231" s="627"/>
      <c r="AL231" s="627"/>
    </row>
    <row r="232" spans="1:38" ht="11.1" customHeight="1" x14ac:dyDescent="0.25">
      <c r="A232" s="632" t="s">
        <v>3548</v>
      </c>
      <c r="B232" s="632"/>
      <c r="C232" s="632"/>
      <c r="H232" s="632" t="s">
        <v>2810</v>
      </c>
      <c r="I232" s="632"/>
      <c r="J232" s="632"/>
      <c r="K232" s="632"/>
      <c r="L232" s="632"/>
      <c r="M232" s="632"/>
      <c r="N232" s="632"/>
      <c r="O232" s="632"/>
      <c r="P232" s="632"/>
      <c r="Q232" s="633">
        <v>209040.61</v>
      </c>
      <c r="R232" s="633"/>
      <c r="T232" s="634">
        <v>0</v>
      </c>
      <c r="U232" s="634"/>
      <c r="V232" s="634"/>
      <c r="Y232" s="634">
        <v>0</v>
      </c>
      <c r="Z232" s="634"/>
      <c r="AA232" s="634"/>
      <c r="AB232" s="634"/>
      <c r="AC232" s="634"/>
      <c r="AD232" s="634"/>
      <c r="AF232" s="633">
        <v>209040.61</v>
      </c>
      <c r="AG232" s="633"/>
      <c r="AH232" s="633"/>
      <c r="AI232" s="633"/>
      <c r="AJ232" s="633"/>
      <c r="AK232" s="633"/>
      <c r="AL232" s="633"/>
    </row>
    <row r="233" spans="1:38" ht="11.1" customHeight="1" x14ac:dyDescent="0.25">
      <c r="A233" s="632" t="s">
        <v>3549</v>
      </c>
      <c r="B233" s="632"/>
      <c r="C233" s="632"/>
      <c r="I233" s="632" t="s">
        <v>581</v>
      </c>
      <c r="J233" s="632"/>
      <c r="K233" s="632"/>
      <c r="L233" s="632"/>
      <c r="M233" s="632"/>
      <c r="N233" s="632"/>
      <c r="O233" s="632"/>
      <c r="P233" s="632"/>
      <c r="Q233" s="633">
        <v>209040.61</v>
      </c>
      <c r="R233" s="633"/>
      <c r="T233" s="634">
        <v>0</v>
      </c>
      <c r="U233" s="634"/>
      <c r="V233" s="634"/>
      <c r="Y233" s="634">
        <v>0</v>
      </c>
      <c r="Z233" s="634"/>
      <c r="AA233" s="634"/>
      <c r="AB233" s="634"/>
      <c r="AC233" s="634"/>
      <c r="AD233" s="634"/>
      <c r="AF233" s="633">
        <v>209040.61</v>
      </c>
      <c r="AG233" s="633"/>
      <c r="AH233" s="633"/>
      <c r="AI233" s="633"/>
      <c r="AJ233" s="633"/>
      <c r="AK233" s="633"/>
      <c r="AL233" s="633"/>
    </row>
    <row r="234" spans="1:38" ht="11.1" customHeight="1" x14ac:dyDescent="0.25">
      <c r="A234" s="632" t="s">
        <v>3550</v>
      </c>
      <c r="B234" s="632"/>
      <c r="C234" s="632"/>
      <c r="J234" s="632" t="s">
        <v>565</v>
      </c>
      <c r="K234" s="632"/>
      <c r="L234" s="632"/>
      <c r="M234" s="632"/>
      <c r="N234" s="632"/>
      <c r="O234" s="632"/>
      <c r="P234" s="632"/>
      <c r="Q234" s="633">
        <v>209040.61</v>
      </c>
      <c r="R234" s="633"/>
      <c r="T234" s="634">
        <v>0</v>
      </c>
      <c r="U234" s="634"/>
      <c r="V234" s="634"/>
      <c r="Y234" s="634">
        <v>0</v>
      </c>
      <c r="Z234" s="634"/>
      <c r="AA234" s="634"/>
      <c r="AB234" s="634"/>
      <c r="AC234" s="634"/>
      <c r="AD234" s="634"/>
      <c r="AF234" s="633">
        <v>209040.61</v>
      </c>
      <c r="AG234" s="633"/>
      <c r="AH234" s="633"/>
      <c r="AI234" s="633"/>
      <c r="AJ234" s="633"/>
      <c r="AK234" s="633"/>
      <c r="AL234" s="633"/>
    </row>
    <row r="235" spans="1:38" ht="11.1" customHeight="1" x14ac:dyDescent="0.25">
      <c r="A235" s="630" t="s">
        <v>3551</v>
      </c>
      <c r="B235" s="630"/>
      <c r="C235" s="630"/>
      <c r="L235" s="630" t="s">
        <v>721</v>
      </c>
      <c r="M235" s="630"/>
      <c r="N235" s="630"/>
      <c r="O235" s="630"/>
      <c r="P235" s="630"/>
      <c r="Q235" s="627">
        <v>209040.61</v>
      </c>
      <c r="R235" s="627"/>
      <c r="T235" s="631">
        <v>0</v>
      </c>
      <c r="U235" s="631"/>
      <c r="V235" s="631"/>
      <c r="Y235" s="631">
        <v>0</v>
      </c>
      <c r="Z235" s="631"/>
      <c r="AA235" s="631"/>
      <c r="AB235" s="631"/>
      <c r="AC235" s="631"/>
      <c r="AD235" s="631"/>
      <c r="AF235" s="627">
        <v>209040.61</v>
      </c>
      <c r="AG235" s="627"/>
      <c r="AH235" s="627"/>
      <c r="AI235" s="627"/>
      <c r="AJ235" s="627"/>
      <c r="AK235" s="627"/>
      <c r="AL235" s="627"/>
    </row>
    <row r="236" spans="1:38" ht="11.1" customHeight="1" x14ac:dyDescent="0.25">
      <c r="A236" s="630" t="s">
        <v>3552</v>
      </c>
      <c r="B236" s="630"/>
      <c r="C236" s="630"/>
      <c r="M236" s="630" t="s">
        <v>593</v>
      </c>
      <c r="N236" s="630"/>
      <c r="O236" s="630"/>
      <c r="P236" s="630"/>
      <c r="Q236" s="627">
        <v>209040.61</v>
      </c>
      <c r="R236" s="627"/>
      <c r="T236" s="631">
        <v>0</v>
      </c>
      <c r="U236" s="631"/>
      <c r="V236" s="631"/>
      <c r="Y236" s="631">
        <v>0</v>
      </c>
      <c r="Z236" s="631"/>
      <c r="AA236" s="631"/>
      <c r="AB236" s="631"/>
      <c r="AC236" s="631"/>
      <c r="AD236" s="631"/>
      <c r="AF236" s="627">
        <v>209040.61</v>
      </c>
      <c r="AG236" s="627"/>
      <c r="AH236" s="627"/>
      <c r="AI236" s="627"/>
      <c r="AJ236" s="627"/>
      <c r="AK236" s="627"/>
      <c r="AL236" s="627"/>
    </row>
    <row r="237" spans="1:38" ht="11.1" customHeight="1" x14ac:dyDescent="0.25">
      <c r="A237" s="632" t="s">
        <v>3553</v>
      </c>
      <c r="B237" s="632"/>
      <c r="C237" s="632"/>
      <c r="H237" s="632" t="s">
        <v>546</v>
      </c>
      <c r="I237" s="632"/>
      <c r="J237" s="632"/>
      <c r="K237" s="632"/>
      <c r="L237" s="632"/>
      <c r="M237" s="632"/>
      <c r="N237" s="632"/>
      <c r="O237" s="632"/>
      <c r="P237" s="632"/>
      <c r="Q237" s="633">
        <v>90737241.769999996</v>
      </c>
      <c r="R237" s="633"/>
      <c r="T237" s="634">
        <v>7495610.7000000002</v>
      </c>
      <c r="U237" s="634"/>
      <c r="V237" s="634"/>
      <c r="Y237" s="634">
        <v>2776223.31</v>
      </c>
      <c r="Z237" s="634"/>
      <c r="AA237" s="634"/>
      <c r="AB237" s="634"/>
      <c r="AC237" s="634"/>
      <c r="AD237" s="634"/>
      <c r="AF237" s="633">
        <v>95456629.159999996</v>
      </c>
      <c r="AG237" s="633"/>
      <c r="AH237" s="633"/>
      <c r="AI237" s="633"/>
      <c r="AJ237" s="633"/>
      <c r="AK237" s="633"/>
      <c r="AL237" s="633"/>
    </row>
    <row r="238" spans="1:38" ht="11.1" customHeight="1" x14ac:dyDescent="0.25">
      <c r="A238" s="632" t="s">
        <v>3554</v>
      </c>
      <c r="B238" s="632"/>
      <c r="C238" s="632"/>
      <c r="I238" s="632" t="s">
        <v>548</v>
      </c>
      <c r="J238" s="632"/>
      <c r="K238" s="632"/>
      <c r="L238" s="632"/>
      <c r="M238" s="632"/>
      <c r="N238" s="632"/>
      <c r="O238" s="632"/>
      <c r="P238" s="632"/>
      <c r="Q238" s="633">
        <v>89553948</v>
      </c>
      <c r="R238" s="633"/>
      <c r="T238" s="634">
        <v>6014130.0999999996</v>
      </c>
      <c r="U238" s="634"/>
      <c r="V238" s="634"/>
      <c r="Y238" s="634">
        <v>1072973.55</v>
      </c>
      <c r="Z238" s="634"/>
      <c r="AA238" s="634"/>
      <c r="AB238" s="634"/>
      <c r="AC238" s="634"/>
      <c r="AD238" s="634"/>
      <c r="AF238" s="633">
        <v>94495104.549999997</v>
      </c>
      <c r="AG238" s="633"/>
      <c r="AH238" s="633"/>
      <c r="AI238" s="633"/>
      <c r="AJ238" s="633"/>
      <c r="AK238" s="633"/>
      <c r="AL238" s="633"/>
    </row>
    <row r="239" spans="1:38" s="93" customFormat="1" ht="11.1" customHeight="1" x14ac:dyDescent="0.25">
      <c r="A239" s="635" t="s">
        <v>3555</v>
      </c>
      <c r="B239" s="635"/>
      <c r="C239" s="635"/>
      <c r="J239" s="635" t="s">
        <v>550</v>
      </c>
      <c r="K239" s="635"/>
      <c r="L239" s="635"/>
      <c r="M239" s="635"/>
      <c r="N239" s="635"/>
      <c r="O239" s="635"/>
      <c r="P239" s="635"/>
      <c r="Q239" s="636">
        <v>87439212.200000003</v>
      </c>
      <c r="R239" s="636"/>
      <c r="T239" s="637">
        <v>5999444.4299999997</v>
      </c>
      <c r="U239" s="637"/>
      <c r="V239" s="637"/>
      <c r="Y239" s="637">
        <v>1058287.8799999999</v>
      </c>
      <c r="Z239" s="637"/>
      <c r="AA239" s="637"/>
      <c r="AB239" s="637"/>
      <c r="AC239" s="637"/>
      <c r="AD239" s="637"/>
      <c r="AF239" s="636">
        <v>92380368.75</v>
      </c>
      <c r="AG239" s="636"/>
      <c r="AH239" s="636"/>
      <c r="AI239" s="636"/>
      <c r="AJ239" s="636"/>
      <c r="AK239" s="636"/>
      <c r="AL239" s="636"/>
    </row>
    <row r="240" spans="1:38" ht="11.1" customHeight="1" x14ac:dyDescent="0.25">
      <c r="A240" s="630" t="s">
        <v>3556</v>
      </c>
      <c r="B240" s="630"/>
      <c r="C240" s="630"/>
      <c r="K240" s="630" t="s">
        <v>552</v>
      </c>
      <c r="L240" s="630"/>
      <c r="M240" s="630"/>
      <c r="N240" s="630"/>
      <c r="O240" s="630"/>
      <c r="P240" s="630"/>
      <c r="Q240" s="627">
        <v>87439212.200000003</v>
      </c>
      <c r="R240" s="627"/>
      <c r="T240" s="631">
        <v>5999444.4299999997</v>
      </c>
      <c r="U240" s="631"/>
      <c r="V240" s="631"/>
      <c r="Y240" s="631">
        <v>1058287.8799999999</v>
      </c>
      <c r="Z240" s="631"/>
      <c r="AA240" s="631"/>
      <c r="AB240" s="631"/>
      <c r="AC240" s="631"/>
      <c r="AD240" s="631"/>
      <c r="AF240" s="627">
        <v>92380368.75</v>
      </c>
      <c r="AG240" s="627"/>
      <c r="AH240" s="627"/>
      <c r="AI240" s="627"/>
      <c r="AJ240" s="627"/>
      <c r="AK240" s="627"/>
      <c r="AL240" s="627"/>
    </row>
    <row r="241" spans="1:38" ht="11.1" customHeight="1" x14ac:dyDescent="0.25">
      <c r="A241" s="630" t="s">
        <v>3557</v>
      </c>
      <c r="B241" s="630"/>
      <c r="C241" s="630"/>
      <c r="L241" s="630" t="s">
        <v>552</v>
      </c>
      <c r="M241" s="630"/>
      <c r="N241" s="630"/>
      <c r="O241" s="630"/>
      <c r="P241" s="630"/>
      <c r="Q241" s="627">
        <v>87439212.200000003</v>
      </c>
      <c r="R241" s="627"/>
      <c r="T241" s="631">
        <v>5999444.4299999997</v>
      </c>
      <c r="U241" s="631"/>
      <c r="V241" s="631"/>
      <c r="Y241" s="631">
        <v>1058287.8799999999</v>
      </c>
      <c r="Z241" s="631"/>
      <c r="AA241" s="631"/>
      <c r="AB241" s="631"/>
      <c r="AC241" s="631"/>
      <c r="AD241" s="631"/>
      <c r="AF241" s="627">
        <v>92380368.75</v>
      </c>
      <c r="AG241" s="627"/>
      <c r="AH241" s="627"/>
      <c r="AI241" s="627"/>
      <c r="AJ241" s="627"/>
      <c r="AK241" s="627"/>
      <c r="AL241" s="627"/>
    </row>
    <row r="242" spans="1:38" ht="11.1" customHeight="1" x14ac:dyDescent="0.25">
      <c r="A242" s="630" t="s">
        <v>3558</v>
      </c>
      <c r="B242" s="630"/>
      <c r="C242" s="630"/>
      <c r="M242" s="630" t="s">
        <v>555</v>
      </c>
      <c r="N242" s="630"/>
      <c r="O242" s="630"/>
      <c r="P242" s="630"/>
      <c r="Q242" s="627">
        <v>48078809.299999997</v>
      </c>
      <c r="R242" s="627"/>
      <c r="T242" s="631">
        <v>1604232.61</v>
      </c>
      <c r="U242" s="631"/>
      <c r="V242" s="631"/>
      <c r="Y242" s="631">
        <v>0</v>
      </c>
      <c r="Z242" s="631"/>
      <c r="AA242" s="631"/>
      <c r="AB242" s="631"/>
      <c r="AC242" s="631"/>
      <c r="AD242" s="631"/>
      <c r="AF242" s="627">
        <v>49683041.909999996</v>
      </c>
      <c r="AG242" s="627"/>
      <c r="AH242" s="627"/>
      <c r="AI242" s="627"/>
      <c r="AJ242" s="627"/>
      <c r="AK242" s="627"/>
      <c r="AL242" s="627"/>
    </row>
    <row r="243" spans="1:38" ht="11.1" customHeight="1" x14ac:dyDescent="0.25">
      <c r="A243" s="630" t="s">
        <v>3559</v>
      </c>
      <c r="B243" s="630"/>
      <c r="C243" s="630"/>
      <c r="M243" s="630" t="s">
        <v>557</v>
      </c>
      <c r="N243" s="630"/>
      <c r="O243" s="630"/>
      <c r="P243" s="630"/>
      <c r="Q243" s="627">
        <v>17133783.890000001</v>
      </c>
      <c r="R243" s="627"/>
      <c r="T243" s="631">
        <v>27.31</v>
      </c>
      <c r="U243" s="631"/>
      <c r="V243" s="631"/>
      <c r="Y243" s="631">
        <v>1058287.8799999999</v>
      </c>
      <c r="Z243" s="631"/>
      <c r="AA243" s="631"/>
      <c r="AB243" s="631"/>
      <c r="AC243" s="631"/>
      <c r="AD243" s="631"/>
      <c r="AF243" s="627">
        <v>16075523.32</v>
      </c>
      <c r="AG243" s="627"/>
      <c r="AH243" s="627"/>
      <c r="AI243" s="627"/>
      <c r="AJ243" s="627"/>
      <c r="AK243" s="627"/>
      <c r="AL243" s="627"/>
    </row>
    <row r="244" spans="1:38" ht="11.1" customHeight="1" x14ac:dyDescent="0.25">
      <c r="A244" s="630" t="s">
        <v>3560</v>
      </c>
      <c r="B244" s="630"/>
      <c r="C244" s="630"/>
      <c r="M244" s="630" t="s">
        <v>559</v>
      </c>
      <c r="N244" s="630"/>
      <c r="O244" s="630"/>
      <c r="P244" s="630"/>
      <c r="Q244" s="627">
        <v>22226619.010000002</v>
      </c>
      <c r="R244" s="627"/>
      <c r="T244" s="631">
        <v>4395184.51</v>
      </c>
      <c r="U244" s="631"/>
      <c r="V244" s="631"/>
      <c r="Y244" s="631">
        <v>0</v>
      </c>
      <c r="Z244" s="631"/>
      <c r="AA244" s="631"/>
      <c r="AB244" s="631"/>
      <c r="AC244" s="631"/>
      <c r="AD244" s="631"/>
      <c r="AF244" s="627">
        <v>26621803.52</v>
      </c>
      <c r="AG244" s="627"/>
      <c r="AH244" s="627"/>
      <c r="AI244" s="627"/>
      <c r="AJ244" s="627"/>
      <c r="AK244" s="627"/>
      <c r="AL244" s="627"/>
    </row>
    <row r="245" spans="1:38" s="93" customFormat="1" ht="11.1" customHeight="1" x14ac:dyDescent="0.25">
      <c r="A245" s="635" t="s">
        <v>3561</v>
      </c>
      <c r="B245" s="635"/>
      <c r="C245" s="635"/>
      <c r="J245" s="635" t="s">
        <v>2816</v>
      </c>
      <c r="K245" s="635"/>
      <c r="L245" s="635"/>
      <c r="M245" s="635"/>
      <c r="N245" s="635"/>
      <c r="O245" s="635"/>
      <c r="P245" s="635"/>
      <c r="Q245" s="636">
        <v>2114735.7999999998</v>
      </c>
      <c r="R245" s="636"/>
      <c r="T245" s="637">
        <v>14685.67</v>
      </c>
      <c r="U245" s="637"/>
      <c r="V245" s="637"/>
      <c r="Y245" s="637">
        <v>14685.67</v>
      </c>
      <c r="Z245" s="637"/>
      <c r="AA245" s="637"/>
      <c r="AB245" s="637"/>
      <c r="AC245" s="637"/>
      <c r="AD245" s="637"/>
      <c r="AF245" s="636">
        <v>2114735.7999999998</v>
      </c>
      <c r="AG245" s="636"/>
      <c r="AH245" s="636"/>
      <c r="AI245" s="636"/>
      <c r="AJ245" s="636"/>
      <c r="AK245" s="636"/>
      <c r="AL245" s="636"/>
    </row>
    <row r="246" spans="1:38" ht="11.1" customHeight="1" x14ac:dyDescent="0.25">
      <c r="A246" s="630" t="s">
        <v>3562</v>
      </c>
      <c r="B246" s="630"/>
      <c r="C246" s="630"/>
      <c r="K246" s="630" t="s">
        <v>2818</v>
      </c>
      <c r="L246" s="630"/>
      <c r="M246" s="630"/>
      <c r="N246" s="630"/>
      <c r="O246" s="630"/>
      <c r="P246" s="630"/>
      <c r="Q246" s="627">
        <v>2114735.7999999998</v>
      </c>
      <c r="R246" s="627"/>
      <c r="T246" s="631">
        <v>14685.67</v>
      </c>
      <c r="U246" s="631"/>
      <c r="V246" s="631"/>
      <c r="Y246" s="631">
        <v>14685.67</v>
      </c>
      <c r="Z246" s="631"/>
      <c r="AA246" s="631"/>
      <c r="AB246" s="631"/>
      <c r="AC246" s="631"/>
      <c r="AD246" s="631"/>
      <c r="AF246" s="627">
        <v>2114735.7999999998</v>
      </c>
      <c r="AG246" s="627"/>
      <c r="AH246" s="627"/>
      <c r="AI246" s="627"/>
      <c r="AJ246" s="627"/>
      <c r="AK246" s="627"/>
      <c r="AL246" s="627"/>
    </row>
    <row r="247" spans="1:38" ht="11.1" customHeight="1" x14ac:dyDescent="0.25">
      <c r="A247" s="630" t="s">
        <v>3563</v>
      </c>
      <c r="B247" s="630"/>
      <c r="C247" s="630"/>
      <c r="L247" s="630" t="s">
        <v>2818</v>
      </c>
      <c r="M247" s="630"/>
      <c r="N247" s="630"/>
      <c r="O247" s="630"/>
      <c r="P247" s="630"/>
      <c r="Q247" s="627">
        <v>2114735.7999999998</v>
      </c>
      <c r="R247" s="627"/>
      <c r="T247" s="631">
        <v>14685.67</v>
      </c>
      <c r="U247" s="631"/>
      <c r="V247" s="631"/>
      <c r="Y247" s="631">
        <v>14685.67</v>
      </c>
      <c r="Z247" s="631"/>
      <c r="AA247" s="631"/>
      <c r="AB247" s="631"/>
      <c r="AC247" s="631"/>
      <c r="AD247" s="631"/>
      <c r="AF247" s="627">
        <v>2114735.7999999998</v>
      </c>
      <c r="AG247" s="627"/>
      <c r="AH247" s="627"/>
      <c r="AI247" s="627"/>
      <c r="AJ247" s="627"/>
      <c r="AK247" s="627"/>
      <c r="AL247" s="627"/>
    </row>
    <row r="248" spans="1:38" ht="11.1" customHeight="1" x14ac:dyDescent="0.25">
      <c r="A248" s="630" t="s">
        <v>3564</v>
      </c>
      <c r="B248" s="630"/>
      <c r="C248" s="630"/>
      <c r="M248" s="630" t="s">
        <v>2821</v>
      </c>
      <c r="N248" s="630"/>
      <c r="O248" s="630"/>
      <c r="P248" s="630"/>
      <c r="Q248" s="627">
        <v>2114735.7999999998</v>
      </c>
      <c r="R248" s="627"/>
      <c r="T248" s="631">
        <v>14685.67</v>
      </c>
      <c r="U248" s="631"/>
      <c r="V248" s="631"/>
      <c r="Y248" s="631">
        <v>14685.67</v>
      </c>
      <c r="Z248" s="631"/>
      <c r="AA248" s="631"/>
      <c r="AB248" s="631"/>
      <c r="AC248" s="631"/>
      <c r="AD248" s="631"/>
      <c r="AF248" s="627">
        <v>2114735.7999999998</v>
      </c>
      <c r="AG248" s="627"/>
      <c r="AH248" s="627"/>
      <c r="AI248" s="627"/>
      <c r="AJ248" s="627"/>
      <c r="AK248" s="627"/>
      <c r="AL248" s="627"/>
    </row>
    <row r="249" spans="1:38" ht="11.1" customHeight="1" x14ac:dyDescent="0.25">
      <c r="A249" s="632" t="s">
        <v>3565</v>
      </c>
      <c r="B249" s="632"/>
      <c r="C249" s="632"/>
      <c r="I249" s="632" t="s">
        <v>561</v>
      </c>
      <c r="J249" s="632"/>
      <c r="K249" s="632"/>
      <c r="L249" s="632"/>
      <c r="M249" s="632"/>
      <c r="N249" s="632"/>
      <c r="O249" s="632"/>
      <c r="P249" s="632"/>
      <c r="Q249" s="633">
        <v>965093.77</v>
      </c>
      <c r="R249" s="633"/>
      <c r="T249" s="634">
        <v>0</v>
      </c>
      <c r="U249" s="634"/>
      <c r="V249" s="634"/>
      <c r="Y249" s="634">
        <v>3569.16</v>
      </c>
      <c r="Z249" s="634"/>
      <c r="AA249" s="634"/>
      <c r="AB249" s="634"/>
      <c r="AC249" s="634"/>
      <c r="AD249" s="634"/>
      <c r="AF249" s="633">
        <v>961524.61</v>
      </c>
      <c r="AG249" s="633"/>
      <c r="AH249" s="633"/>
      <c r="AI249" s="633"/>
      <c r="AJ249" s="633"/>
      <c r="AK249" s="633"/>
      <c r="AL249" s="633"/>
    </row>
    <row r="250" spans="1:38" ht="11.1" customHeight="1" x14ac:dyDescent="0.25">
      <c r="A250" s="632" t="s">
        <v>3566</v>
      </c>
      <c r="B250" s="632"/>
      <c r="C250" s="632"/>
      <c r="J250" s="632" t="s">
        <v>563</v>
      </c>
      <c r="K250" s="632"/>
      <c r="L250" s="632"/>
      <c r="M250" s="632"/>
      <c r="N250" s="632"/>
      <c r="O250" s="632"/>
      <c r="P250" s="632"/>
      <c r="Q250" s="633">
        <v>1642451.64</v>
      </c>
      <c r="R250" s="633"/>
      <c r="T250" s="634">
        <v>0</v>
      </c>
      <c r="U250" s="634"/>
      <c r="V250" s="634"/>
      <c r="Y250" s="634">
        <v>0</v>
      </c>
      <c r="Z250" s="634"/>
      <c r="AA250" s="634"/>
      <c r="AB250" s="634"/>
      <c r="AC250" s="634"/>
      <c r="AD250" s="634"/>
      <c r="AF250" s="633">
        <v>1642451.64</v>
      </c>
      <c r="AG250" s="633"/>
      <c r="AH250" s="633"/>
      <c r="AI250" s="633"/>
      <c r="AJ250" s="633"/>
      <c r="AK250" s="633"/>
      <c r="AL250" s="633"/>
    </row>
    <row r="251" spans="1:38" ht="11.1" customHeight="1" x14ac:dyDescent="0.25">
      <c r="A251" s="630" t="s">
        <v>3567</v>
      </c>
      <c r="B251" s="630"/>
      <c r="C251" s="630"/>
      <c r="K251" s="630" t="s">
        <v>565</v>
      </c>
      <c r="L251" s="630"/>
      <c r="M251" s="630"/>
      <c r="N251" s="630"/>
      <c r="O251" s="630"/>
      <c r="P251" s="630"/>
      <c r="Q251" s="627">
        <v>356267.93</v>
      </c>
      <c r="R251" s="627"/>
      <c r="T251" s="631">
        <v>0</v>
      </c>
      <c r="U251" s="631"/>
      <c r="V251" s="631"/>
      <c r="Y251" s="631">
        <v>0</v>
      </c>
      <c r="Z251" s="631"/>
      <c r="AA251" s="631"/>
      <c r="AB251" s="631"/>
      <c r="AC251" s="631"/>
      <c r="AD251" s="631"/>
      <c r="AF251" s="627">
        <v>356267.93</v>
      </c>
      <c r="AG251" s="627"/>
      <c r="AH251" s="627"/>
      <c r="AI251" s="627"/>
      <c r="AJ251" s="627"/>
      <c r="AK251" s="627"/>
      <c r="AL251" s="627"/>
    </row>
    <row r="252" spans="1:38" ht="11.1" customHeight="1" x14ac:dyDescent="0.25">
      <c r="A252" s="630" t="s">
        <v>3568</v>
      </c>
      <c r="B252" s="630"/>
      <c r="C252" s="630"/>
      <c r="M252" s="630" t="s">
        <v>565</v>
      </c>
      <c r="N252" s="630"/>
      <c r="O252" s="630"/>
      <c r="P252" s="630"/>
      <c r="Q252" s="627">
        <v>356267.93</v>
      </c>
      <c r="R252" s="627"/>
      <c r="T252" s="631">
        <v>0</v>
      </c>
      <c r="U252" s="631"/>
      <c r="V252" s="631"/>
      <c r="Y252" s="631">
        <v>0</v>
      </c>
      <c r="Z252" s="631"/>
      <c r="AA252" s="631"/>
      <c r="AB252" s="631"/>
      <c r="AC252" s="631"/>
      <c r="AD252" s="631"/>
      <c r="AF252" s="627">
        <v>356267.93</v>
      </c>
      <c r="AG252" s="627"/>
      <c r="AH252" s="627"/>
      <c r="AI252" s="627"/>
      <c r="AJ252" s="627"/>
      <c r="AK252" s="627"/>
      <c r="AL252" s="627"/>
    </row>
    <row r="253" spans="1:38" ht="11.1" customHeight="1" x14ac:dyDescent="0.25">
      <c r="A253" s="630" t="s">
        <v>3569</v>
      </c>
      <c r="B253" s="630"/>
      <c r="C253" s="630"/>
      <c r="K253" s="630" t="s">
        <v>568</v>
      </c>
      <c r="L253" s="630"/>
      <c r="M253" s="630"/>
      <c r="N253" s="630"/>
      <c r="O253" s="630"/>
      <c r="P253" s="630"/>
      <c r="Q253" s="627">
        <v>1286183.71</v>
      </c>
      <c r="R253" s="627"/>
      <c r="T253" s="631">
        <v>0</v>
      </c>
      <c r="U253" s="631"/>
      <c r="V253" s="631"/>
      <c r="Y253" s="631">
        <v>0</v>
      </c>
      <c r="Z253" s="631"/>
      <c r="AA253" s="631"/>
      <c r="AB253" s="631"/>
      <c r="AC253" s="631"/>
      <c r="AD253" s="631"/>
      <c r="AF253" s="627">
        <v>1286183.71</v>
      </c>
      <c r="AG253" s="627"/>
      <c r="AH253" s="627"/>
      <c r="AI253" s="627"/>
      <c r="AJ253" s="627"/>
      <c r="AK253" s="627"/>
      <c r="AL253" s="627"/>
    </row>
    <row r="254" spans="1:38" ht="11.1" customHeight="1" x14ac:dyDescent="0.25">
      <c r="A254" s="630" t="s">
        <v>3570</v>
      </c>
      <c r="B254" s="630"/>
      <c r="C254" s="630"/>
      <c r="M254" s="630" t="s">
        <v>568</v>
      </c>
      <c r="N254" s="630"/>
      <c r="O254" s="630"/>
      <c r="P254" s="630"/>
      <c r="Q254" s="627">
        <v>1286183.71</v>
      </c>
      <c r="R254" s="627"/>
      <c r="T254" s="631">
        <v>0</v>
      </c>
      <c r="U254" s="631"/>
      <c r="V254" s="631"/>
      <c r="Y254" s="631">
        <v>0</v>
      </c>
      <c r="Z254" s="631"/>
      <c r="AA254" s="631"/>
      <c r="AB254" s="631"/>
      <c r="AC254" s="631"/>
      <c r="AD254" s="631"/>
      <c r="AF254" s="627">
        <v>1286183.71</v>
      </c>
      <c r="AG254" s="627"/>
      <c r="AH254" s="627"/>
      <c r="AI254" s="627"/>
      <c r="AJ254" s="627"/>
      <c r="AK254" s="627"/>
      <c r="AL254" s="627"/>
    </row>
    <row r="255" spans="1:38" ht="11.1" customHeight="1" x14ac:dyDescent="0.25">
      <c r="A255" s="632" t="s">
        <v>3571</v>
      </c>
      <c r="B255" s="632"/>
      <c r="C255" s="632"/>
      <c r="J255" s="632" t="s">
        <v>571</v>
      </c>
      <c r="K255" s="632"/>
      <c r="L255" s="632"/>
      <c r="M255" s="632"/>
      <c r="N255" s="632"/>
      <c r="O255" s="632"/>
      <c r="P255" s="632"/>
      <c r="Q255" s="633">
        <v>-677357.87</v>
      </c>
      <c r="R255" s="633"/>
      <c r="T255" s="634">
        <v>0</v>
      </c>
      <c r="U255" s="634"/>
      <c r="V255" s="634"/>
      <c r="Y255" s="634">
        <v>3569.16</v>
      </c>
      <c r="Z255" s="634"/>
      <c r="AA255" s="634"/>
      <c r="AB255" s="634"/>
      <c r="AC255" s="634"/>
      <c r="AD255" s="634"/>
      <c r="AF255" s="633">
        <v>-680927.03</v>
      </c>
      <c r="AG255" s="633"/>
      <c r="AH255" s="633"/>
      <c r="AI255" s="633"/>
      <c r="AJ255" s="633"/>
      <c r="AK255" s="633"/>
      <c r="AL255" s="633"/>
    </row>
    <row r="256" spans="1:38" ht="11.1" customHeight="1" x14ac:dyDescent="0.25">
      <c r="A256" s="630" t="s">
        <v>3572</v>
      </c>
      <c r="B256" s="630"/>
      <c r="C256" s="630"/>
      <c r="K256" s="630" t="s">
        <v>568</v>
      </c>
      <c r="L256" s="630"/>
      <c r="M256" s="630"/>
      <c r="N256" s="630"/>
      <c r="O256" s="630"/>
      <c r="P256" s="630"/>
      <c r="Q256" s="627">
        <v>-677357.87</v>
      </c>
      <c r="R256" s="627"/>
      <c r="T256" s="631">
        <v>0</v>
      </c>
      <c r="U256" s="631"/>
      <c r="V256" s="631"/>
      <c r="Y256" s="631">
        <v>3569.16</v>
      </c>
      <c r="Z256" s="631"/>
      <c r="AA256" s="631"/>
      <c r="AB256" s="631"/>
      <c r="AC256" s="631"/>
      <c r="AD256" s="631"/>
      <c r="AF256" s="627">
        <v>-680927.03</v>
      </c>
      <c r="AG256" s="627"/>
      <c r="AH256" s="627"/>
      <c r="AI256" s="627"/>
      <c r="AJ256" s="627"/>
      <c r="AK256" s="627"/>
      <c r="AL256" s="627"/>
    </row>
    <row r="257" spans="1:38" ht="11.1" customHeight="1" x14ac:dyDescent="0.25">
      <c r="A257" s="630" t="s">
        <v>3573</v>
      </c>
      <c r="B257" s="630"/>
      <c r="C257" s="630"/>
      <c r="M257" s="630" t="s">
        <v>568</v>
      </c>
      <c r="N257" s="630"/>
      <c r="O257" s="630"/>
      <c r="P257" s="630"/>
      <c r="Q257" s="627">
        <v>-677357.87</v>
      </c>
      <c r="R257" s="627"/>
      <c r="T257" s="631">
        <v>0</v>
      </c>
      <c r="U257" s="631"/>
      <c r="V257" s="631"/>
      <c r="Y257" s="631">
        <v>3569.16</v>
      </c>
      <c r="Z257" s="631"/>
      <c r="AA257" s="631"/>
      <c r="AB257" s="631"/>
      <c r="AC257" s="631"/>
      <c r="AD257" s="631"/>
      <c r="AF257" s="627">
        <v>-680927.03</v>
      </c>
      <c r="AG257" s="627"/>
      <c r="AH257" s="627"/>
      <c r="AI257" s="627"/>
      <c r="AJ257" s="627"/>
      <c r="AK257" s="627"/>
      <c r="AL257" s="627"/>
    </row>
    <row r="258" spans="1:38" s="93" customFormat="1" ht="11.1" customHeight="1" x14ac:dyDescent="0.25">
      <c r="A258" s="635" t="s">
        <v>3574</v>
      </c>
      <c r="B258" s="635"/>
      <c r="C258" s="635"/>
      <c r="I258" s="635" t="s">
        <v>331</v>
      </c>
      <c r="J258" s="635"/>
      <c r="K258" s="635"/>
      <c r="L258" s="635"/>
      <c r="M258" s="635"/>
      <c r="N258" s="635"/>
      <c r="O258" s="635"/>
      <c r="P258" s="635"/>
      <c r="Q258" s="636">
        <v>218200</v>
      </c>
      <c r="R258" s="636"/>
      <c r="T258" s="637">
        <v>1481480.6</v>
      </c>
      <c r="U258" s="637"/>
      <c r="V258" s="637"/>
      <c r="Y258" s="637">
        <v>1699680.6</v>
      </c>
      <c r="Z258" s="637"/>
      <c r="AA258" s="637"/>
      <c r="AB258" s="637"/>
      <c r="AC258" s="637"/>
      <c r="AD258" s="637"/>
      <c r="AF258" s="636">
        <v>0</v>
      </c>
      <c r="AG258" s="636"/>
      <c r="AH258" s="636"/>
      <c r="AI258" s="636"/>
      <c r="AJ258" s="636"/>
      <c r="AK258" s="636"/>
      <c r="AL258" s="636"/>
    </row>
    <row r="259" spans="1:38" ht="11.1" customHeight="1" x14ac:dyDescent="0.25">
      <c r="A259" s="632" t="s">
        <v>3575</v>
      </c>
      <c r="B259" s="632"/>
      <c r="C259" s="632"/>
      <c r="J259" s="632" t="s">
        <v>576</v>
      </c>
      <c r="K259" s="632"/>
      <c r="L259" s="632"/>
      <c r="M259" s="632"/>
      <c r="N259" s="632"/>
      <c r="O259" s="632"/>
      <c r="P259" s="632"/>
      <c r="Q259" s="633">
        <v>218200</v>
      </c>
      <c r="R259" s="633"/>
      <c r="T259" s="634">
        <v>1481480.6</v>
      </c>
      <c r="U259" s="634"/>
      <c r="V259" s="634"/>
      <c r="Y259" s="634">
        <v>1699680.6</v>
      </c>
      <c r="Z259" s="634"/>
      <c r="AA259" s="634"/>
      <c r="AB259" s="634"/>
      <c r="AC259" s="634"/>
      <c r="AD259" s="634"/>
      <c r="AF259" s="633">
        <v>0</v>
      </c>
      <c r="AG259" s="633"/>
      <c r="AH259" s="633"/>
      <c r="AI259" s="633"/>
      <c r="AJ259" s="633"/>
      <c r="AK259" s="633"/>
      <c r="AL259" s="633"/>
    </row>
    <row r="260" spans="1:38" ht="11.1" customHeight="1" x14ac:dyDescent="0.25">
      <c r="A260" s="630" t="s">
        <v>3576</v>
      </c>
      <c r="B260" s="630"/>
      <c r="C260" s="630"/>
      <c r="M260" s="630" t="s">
        <v>578</v>
      </c>
      <c r="N260" s="630"/>
      <c r="O260" s="630"/>
      <c r="P260" s="630"/>
      <c r="Q260" s="627">
        <v>0</v>
      </c>
      <c r="R260" s="627"/>
      <c r="T260" s="631">
        <v>1481480.6</v>
      </c>
      <c r="U260" s="631"/>
      <c r="V260" s="631"/>
      <c r="Y260" s="631">
        <v>1481480.6</v>
      </c>
      <c r="Z260" s="631"/>
      <c r="AA260" s="631"/>
      <c r="AB260" s="631"/>
      <c r="AC260" s="631"/>
      <c r="AD260" s="631"/>
      <c r="AF260" s="627">
        <v>0</v>
      </c>
      <c r="AG260" s="627"/>
      <c r="AH260" s="627"/>
      <c r="AI260" s="627"/>
      <c r="AJ260" s="627"/>
      <c r="AK260" s="627"/>
      <c r="AL260" s="627"/>
    </row>
    <row r="261" spans="1:38" ht="11.1" customHeight="1" x14ac:dyDescent="0.25">
      <c r="A261" s="630" t="s">
        <v>3577</v>
      </c>
      <c r="B261" s="630"/>
      <c r="C261" s="630"/>
      <c r="M261" s="630" t="s">
        <v>2823</v>
      </c>
      <c r="N261" s="630"/>
      <c r="O261" s="630"/>
      <c r="P261" s="630"/>
      <c r="Q261" s="627">
        <v>218200</v>
      </c>
      <c r="R261" s="627"/>
      <c r="T261" s="631">
        <v>0</v>
      </c>
      <c r="U261" s="631"/>
      <c r="V261" s="631"/>
      <c r="Y261" s="631">
        <v>218200</v>
      </c>
      <c r="Z261" s="631"/>
      <c r="AA261" s="631"/>
      <c r="AB261" s="631"/>
      <c r="AC261" s="631"/>
      <c r="AD261" s="631"/>
      <c r="AF261" s="627">
        <v>0</v>
      </c>
      <c r="AG261" s="627"/>
      <c r="AH261" s="627"/>
      <c r="AI261" s="627"/>
      <c r="AJ261" s="627"/>
      <c r="AK261" s="627"/>
      <c r="AL261" s="627"/>
    </row>
    <row r="262" spans="1:38" ht="11.1" customHeight="1" x14ac:dyDescent="0.25">
      <c r="A262" s="632" t="s">
        <v>3578</v>
      </c>
      <c r="B262" s="632"/>
      <c r="C262" s="632"/>
      <c r="H262" s="632" t="s">
        <v>563</v>
      </c>
      <c r="I262" s="632"/>
      <c r="J262" s="632"/>
      <c r="K262" s="632"/>
      <c r="L262" s="632"/>
      <c r="M262" s="632"/>
      <c r="N262" s="632"/>
      <c r="O262" s="632"/>
      <c r="P262" s="632"/>
      <c r="Q262" s="633">
        <v>99881993.200000003</v>
      </c>
      <c r="R262" s="633"/>
      <c r="T262" s="634">
        <v>279999.03000000003</v>
      </c>
      <c r="U262" s="634"/>
      <c r="V262" s="634"/>
      <c r="Y262" s="634">
        <v>403933.07</v>
      </c>
      <c r="Z262" s="634"/>
      <c r="AA262" s="634"/>
      <c r="AB262" s="634"/>
      <c r="AC262" s="634"/>
      <c r="AD262" s="634"/>
      <c r="AF262" s="633">
        <v>99758059.159999996</v>
      </c>
      <c r="AG262" s="633"/>
      <c r="AH262" s="633"/>
      <c r="AI262" s="633"/>
      <c r="AJ262" s="633"/>
      <c r="AK262" s="633"/>
      <c r="AL262" s="633"/>
    </row>
    <row r="263" spans="1:38" ht="11.1" customHeight="1" x14ac:dyDescent="0.25">
      <c r="A263" s="632" t="s">
        <v>3579</v>
      </c>
      <c r="B263" s="632"/>
      <c r="C263" s="632"/>
      <c r="I263" s="632" t="s">
        <v>581</v>
      </c>
      <c r="J263" s="632"/>
      <c r="K263" s="632"/>
      <c r="L263" s="632"/>
      <c r="M263" s="632"/>
      <c r="N263" s="632"/>
      <c r="O263" s="632"/>
      <c r="P263" s="632"/>
      <c r="Q263" s="633">
        <v>99165171.620000005</v>
      </c>
      <c r="R263" s="633"/>
      <c r="T263" s="634">
        <v>279999.03000000003</v>
      </c>
      <c r="U263" s="634"/>
      <c r="V263" s="634"/>
      <c r="Y263" s="634">
        <v>396133.14</v>
      </c>
      <c r="Z263" s="634"/>
      <c r="AA263" s="634"/>
      <c r="AB263" s="634"/>
      <c r="AC263" s="634"/>
      <c r="AD263" s="634"/>
      <c r="AF263" s="633">
        <v>99049037.510000005</v>
      </c>
      <c r="AG263" s="633"/>
      <c r="AH263" s="633"/>
      <c r="AI263" s="633"/>
      <c r="AJ263" s="633"/>
      <c r="AK263" s="633"/>
      <c r="AL263" s="633"/>
    </row>
    <row r="264" spans="1:38" ht="11.1" customHeight="1" x14ac:dyDescent="0.25">
      <c r="A264" s="632" t="s">
        <v>3580</v>
      </c>
      <c r="B264" s="632"/>
      <c r="C264" s="632"/>
      <c r="J264" s="632" t="s">
        <v>583</v>
      </c>
      <c r="K264" s="632"/>
      <c r="L264" s="632"/>
      <c r="M264" s="632"/>
      <c r="N264" s="632"/>
      <c r="O264" s="632"/>
      <c r="P264" s="632"/>
      <c r="Q264" s="633">
        <v>174527281.19</v>
      </c>
      <c r="R264" s="633"/>
      <c r="T264" s="634">
        <v>0</v>
      </c>
      <c r="U264" s="634"/>
      <c r="V264" s="634"/>
      <c r="Y264" s="634">
        <v>0</v>
      </c>
      <c r="Z264" s="634"/>
      <c r="AA264" s="634"/>
      <c r="AB264" s="634"/>
      <c r="AC264" s="634"/>
      <c r="AD264" s="634"/>
      <c r="AF264" s="633">
        <v>174527281.19</v>
      </c>
      <c r="AG264" s="633"/>
      <c r="AH264" s="633"/>
      <c r="AI264" s="633"/>
      <c r="AJ264" s="633"/>
      <c r="AK264" s="633"/>
      <c r="AL264" s="633"/>
    </row>
    <row r="265" spans="1:38" ht="11.1" customHeight="1" x14ac:dyDescent="0.25">
      <c r="A265" s="630" t="s">
        <v>3581</v>
      </c>
      <c r="B265" s="630"/>
      <c r="C265" s="630"/>
      <c r="K265" s="630" t="s">
        <v>565</v>
      </c>
      <c r="L265" s="630"/>
      <c r="M265" s="630"/>
      <c r="N265" s="630"/>
      <c r="O265" s="630"/>
      <c r="P265" s="630"/>
      <c r="Q265" s="627">
        <v>1759403.2</v>
      </c>
      <c r="R265" s="627"/>
      <c r="T265" s="631">
        <v>0</v>
      </c>
      <c r="U265" s="631"/>
      <c r="V265" s="631"/>
      <c r="Y265" s="631">
        <v>0</v>
      </c>
      <c r="Z265" s="631"/>
      <c r="AA265" s="631"/>
      <c r="AB265" s="631"/>
      <c r="AC265" s="631"/>
      <c r="AD265" s="631"/>
      <c r="AF265" s="627">
        <v>1759403.2</v>
      </c>
      <c r="AG265" s="627"/>
      <c r="AH265" s="627"/>
      <c r="AI265" s="627"/>
      <c r="AJ265" s="627"/>
      <c r="AK265" s="627"/>
      <c r="AL265" s="627"/>
    </row>
    <row r="266" spans="1:38" ht="11.1" customHeight="1" x14ac:dyDescent="0.25">
      <c r="A266" s="630" t="s">
        <v>3582</v>
      </c>
      <c r="B266" s="630"/>
      <c r="C266" s="630"/>
      <c r="L266" s="630" t="s">
        <v>586</v>
      </c>
      <c r="M266" s="630"/>
      <c r="N266" s="630"/>
      <c r="O266" s="630"/>
      <c r="P266" s="630"/>
      <c r="Q266" s="627">
        <v>776717.44</v>
      </c>
      <c r="R266" s="627"/>
      <c r="T266" s="631">
        <v>0</v>
      </c>
      <c r="U266" s="631"/>
      <c r="V266" s="631"/>
      <c r="Y266" s="631">
        <v>0</v>
      </c>
      <c r="Z266" s="631"/>
      <c r="AA266" s="631"/>
      <c r="AB266" s="631"/>
      <c r="AC266" s="631"/>
      <c r="AD266" s="631"/>
      <c r="AF266" s="627">
        <v>776717.44</v>
      </c>
      <c r="AG266" s="627"/>
      <c r="AH266" s="627"/>
      <c r="AI266" s="627"/>
      <c r="AJ266" s="627"/>
      <c r="AK266" s="627"/>
      <c r="AL266" s="627"/>
    </row>
    <row r="267" spans="1:38" ht="11.1" customHeight="1" x14ac:dyDescent="0.25">
      <c r="A267" s="630" t="s">
        <v>3583</v>
      </c>
      <c r="B267" s="630"/>
      <c r="C267" s="630"/>
      <c r="M267" s="630" t="s">
        <v>565</v>
      </c>
      <c r="N267" s="630"/>
      <c r="O267" s="630"/>
      <c r="P267" s="630"/>
      <c r="Q267" s="627">
        <v>776717.44</v>
      </c>
      <c r="R267" s="627"/>
      <c r="T267" s="631">
        <v>0</v>
      </c>
      <c r="U267" s="631"/>
      <c r="V267" s="631"/>
      <c r="Y267" s="631">
        <v>0</v>
      </c>
      <c r="Z267" s="631"/>
      <c r="AA267" s="631"/>
      <c r="AB267" s="631"/>
      <c r="AC267" s="631"/>
      <c r="AD267" s="631"/>
      <c r="AF267" s="627">
        <v>776717.44</v>
      </c>
      <c r="AG267" s="627"/>
      <c r="AH267" s="627"/>
      <c r="AI267" s="627"/>
      <c r="AJ267" s="627"/>
      <c r="AK267" s="627"/>
      <c r="AL267" s="627"/>
    </row>
    <row r="268" spans="1:38" ht="11.1" customHeight="1" x14ac:dyDescent="0.25">
      <c r="A268" s="630" t="s">
        <v>3584</v>
      </c>
      <c r="B268" s="630"/>
      <c r="C268" s="630"/>
      <c r="L268" s="630" t="s">
        <v>302</v>
      </c>
      <c r="M268" s="630"/>
      <c r="N268" s="630"/>
      <c r="O268" s="630"/>
      <c r="P268" s="630"/>
      <c r="Q268" s="627">
        <v>795966.21</v>
      </c>
      <c r="R268" s="627"/>
      <c r="T268" s="631">
        <v>0</v>
      </c>
      <c r="U268" s="631"/>
      <c r="V268" s="631"/>
      <c r="Y268" s="631">
        <v>0</v>
      </c>
      <c r="Z268" s="631"/>
      <c r="AA268" s="631"/>
      <c r="AB268" s="631"/>
      <c r="AC268" s="631"/>
      <c r="AD268" s="631"/>
      <c r="AF268" s="627">
        <v>795966.21</v>
      </c>
      <c r="AG268" s="627"/>
      <c r="AH268" s="627"/>
      <c r="AI268" s="627"/>
      <c r="AJ268" s="627"/>
      <c r="AK268" s="627"/>
      <c r="AL268" s="627"/>
    </row>
    <row r="269" spans="1:38" ht="11.1" customHeight="1" x14ac:dyDescent="0.25">
      <c r="A269" s="630" t="s">
        <v>3585</v>
      </c>
      <c r="B269" s="630"/>
      <c r="C269" s="630"/>
      <c r="M269" s="630" t="s">
        <v>565</v>
      </c>
      <c r="N269" s="630"/>
      <c r="O269" s="630"/>
      <c r="P269" s="630"/>
      <c r="Q269" s="627">
        <v>795966.21</v>
      </c>
      <c r="R269" s="627"/>
      <c r="T269" s="631">
        <v>0</v>
      </c>
      <c r="U269" s="631"/>
      <c r="V269" s="631"/>
      <c r="Y269" s="631">
        <v>0</v>
      </c>
      <c r="Z269" s="631"/>
      <c r="AA269" s="631"/>
      <c r="AB269" s="631"/>
      <c r="AC269" s="631"/>
      <c r="AD269" s="631"/>
      <c r="AF269" s="627">
        <v>795966.21</v>
      </c>
      <c r="AG269" s="627"/>
      <c r="AH269" s="627"/>
      <c r="AI269" s="627"/>
      <c r="AJ269" s="627"/>
      <c r="AK269" s="627"/>
      <c r="AL269" s="627"/>
    </row>
    <row r="270" spans="1:38" ht="11.1" customHeight="1" x14ac:dyDescent="0.25">
      <c r="A270" s="630" t="s">
        <v>3586</v>
      </c>
      <c r="B270" s="630"/>
      <c r="C270" s="630"/>
      <c r="L270" s="630" t="s">
        <v>591</v>
      </c>
      <c r="M270" s="630"/>
      <c r="N270" s="630"/>
      <c r="O270" s="630"/>
      <c r="P270" s="630"/>
      <c r="Q270" s="627">
        <v>186719.55</v>
      </c>
      <c r="R270" s="627"/>
      <c r="T270" s="631">
        <v>0</v>
      </c>
      <c r="U270" s="631"/>
      <c r="V270" s="631"/>
      <c r="Y270" s="631">
        <v>0</v>
      </c>
      <c r="Z270" s="631"/>
      <c r="AA270" s="631"/>
      <c r="AB270" s="631"/>
      <c r="AC270" s="631"/>
      <c r="AD270" s="631"/>
      <c r="AF270" s="627">
        <v>186719.55</v>
      </c>
      <c r="AG270" s="627"/>
      <c r="AH270" s="627"/>
      <c r="AI270" s="627"/>
      <c r="AJ270" s="627"/>
      <c r="AK270" s="627"/>
      <c r="AL270" s="627"/>
    </row>
    <row r="271" spans="1:38" ht="11.1" customHeight="1" x14ac:dyDescent="0.25">
      <c r="A271" s="630" t="s">
        <v>3587</v>
      </c>
      <c r="B271" s="630"/>
      <c r="C271" s="630"/>
      <c r="M271" s="630" t="s">
        <v>593</v>
      </c>
      <c r="N271" s="630"/>
      <c r="O271" s="630"/>
      <c r="P271" s="630"/>
      <c r="Q271" s="627">
        <v>186719.55</v>
      </c>
      <c r="R271" s="627"/>
      <c r="T271" s="631">
        <v>0</v>
      </c>
      <c r="U271" s="631"/>
      <c r="V271" s="631"/>
      <c r="Y271" s="631">
        <v>0</v>
      </c>
      <c r="Z271" s="631"/>
      <c r="AA271" s="631"/>
      <c r="AB271" s="631"/>
      <c r="AC271" s="631"/>
      <c r="AD271" s="631"/>
      <c r="AF271" s="627">
        <v>186719.55</v>
      </c>
      <c r="AG271" s="627"/>
      <c r="AH271" s="627"/>
      <c r="AI271" s="627"/>
      <c r="AJ271" s="627"/>
      <c r="AK271" s="627"/>
      <c r="AL271" s="627"/>
    </row>
    <row r="272" spans="1:38" ht="11.1" customHeight="1" x14ac:dyDescent="0.25">
      <c r="A272" s="630" t="s">
        <v>3588</v>
      </c>
      <c r="B272" s="630"/>
      <c r="C272" s="630"/>
      <c r="K272" s="630" t="s">
        <v>595</v>
      </c>
      <c r="L272" s="630"/>
      <c r="M272" s="630"/>
      <c r="N272" s="630"/>
      <c r="O272" s="630"/>
      <c r="P272" s="630"/>
      <c r="Q272" s="627">
        <v>82772764.049999997</v>
      </c>
      <c r="R272" s="627"/>
      <c r="T272" s="631">
        <v>0</v>
      </c>
      <c r="U272" s="631"/>
      <c r="V272" s="631"/>
      <c r="Y272" s="631">
        <v>0</v>
      </c>
      <c r="Z272" s="631"/>
      <c r="AA272" s="631"/>
      <c r="AB272" s="631"/>
      <c r="AC272" s="631"/>
      <c r="AD272" s="631"/>
      <c r="AF272" s="627">
        <v>82772764.049999997</v>
      </c>
      <c r="AG272" s="627"/>
      <c r="AH272" s="627"/>
      <c r="AI272" s="627"/>
      <c r="AJ272" s="627"/>
      <c r="AK272" s="627"/>
      <c r="AL272" s="627"/>
    </row>
    <row r="273" spans="1:38" ht="11.1" customHeight="1" x14ac:dyDescent="0.25">
      <c r="A273" s="630" t="s">
        <v>3589</v>
      </c>
      <c r="B273" s="630"/>
      <c r="C273" s="630"/>
      <c r="L273" s="630" t="s">
        <v>586</v>
      </c>
      <c r="M273" s="630"/>
      <c r="N273" s="630"/>
      <c r="O273" s="630"/>
      <c r="P273" s="630"/>
      <c r="Q273" s="627">
        <v>6691726.2599999998</v>
      </c>
      <c r="R273" s="627"/>
      <c r="T273" s="631">
        <v>0</v>
      </c>
      <c r="U273" s="631"/>
      <c r="V273" s="631"/>
      <c r="Y273" s="631">
        <v>0</v>
      </c>
      <c r="Z273" s="631"/>
      <c r="AA273" s="631"/>
      <c r="AB273" s="631"/>
      <c r="AC273" s="631"/>
      <c r="AD273" s="631"/>
      <c r="AF273" s="627">
        <v>6691726.2599999998</v>
      </c>
      <c r="AG273" s="627"/>
      <c r="AH273" s="627"/>
      <c r="AI273" s="627"/>
      <c r="AJ273" s="627"/>
      <c r="AK273" s="627"/>
      <c r="AL273" s="627"/>
    </row>
    <row r="274" spans="1:38" ht="11.1" customHeight="1" x14ac:dyDescent="0.25">
      <c r="A274" s="630" t="s">
        <v>3590</v>
      </c>
      <c r="B274" s="630"/>
      <c r="C274" s="630"/>
      <c r="M274" s="630" t="s">
        <v>595</v>
      </c>
      <c r="N274" s="630"/>
      <c r="O274" s="630"/>
      <c r="P274" s="630"/>
      <c r="Q274" s="627">
        <v>6691726.2599999998</v>
      </c>
      <c r="R274" s="627"/>
      <c r="T274" s="631">
        <v>0</v>
      </c>
      <c r="U274" s="631"/>
      <c r="V274" s="631"/>
      <c r="Y274" s="631">
        <v>0</v>
      </c>
      <c r="Z274" s="631"/>
      <c r="AA274" s="631"/>
      <c r="AB274" s="631"/>
      <c r="AC274" s="631"/>
      <c r="AD274" s="631"/>
      <c r="AF274" s="627">
        <v>6691726.2599999998</v>
      </c>
      <c r="AG274" s="627"/>
      <c r="AH274" s="627"/>
      <c r="AI274" s="627"/>
      <c r="AJ274" s="627"/>
      <c r="AK274" s="627"/>
      <c r="AL274" s="627"/>
    </row>
    <row r="275" spans="1:38" ht="11.1" customHeight="1" x14ac:dyDescent="0.25">
      <c r="A275" s="630" t="s">
        <v>3591</v>
      </c>
      <c r="B275" s="630"/>
      <c r="C275" s="630"/>
      <c r="L275" s="630" t="s">
        <v>302</v>
      </c>
      <c r="M275" s="630"/>
      <c r="N275" s="630"/>
      <c r="O275" s="630"/>
      <c r="P275" s="630"/>
      <c r="Q275" s="627">
        <v>58397649.450000003</v>
      </c>
      <c r="R275" s="627"/>
      <c r="T275" s="631">
        <v>0</v>
      </c>
      <c r="U275" s="631"/>
      <c r="V275" s="631"/>
      <c r="Y275" s="631">
        <v>0</v>
      </c>
      <c r="Z275" s="631"/>
      <c r="AA275" s="631"/>
      <c r="AB275" s="631"/>
      <c r="AC275" s="631"/>
      <c r="AD275" s="631"/>
      <c r="AF275" s="627">
        <v>58397649.450000003</v>
      </c>
      <c r="AG275" s="627"/>
      <c r="AH275" s="627"/>
      <c r="AI275" s="627"/>
      <c r="AJ275" s="627"/>
      <c r="AK275" s="627"/>
      <c r="AL275" s="627"/>
    </row>
    <row r="276" spans="1:38" ht="11.1" customHeight="1" x14ac:dyDescent="0.25">
      <c r="A276" s="630" t="s">
        <v>3592</v>
      </c>
      <c r="B276" s="630"/>
      <c r="C276" s="630"/>
      <c r="M276" s="630" t="s">
        <v>595</v>
      </c>
      <c r="N276" s="630"/>
      <c r="O276" s="630"/>
      <c r="P276" s="630"/>
      <c r="Q276" s="627">
        <v>58397649.450000003</v>
      </c>
      <c r="R276" s="627"/>
      <c r="T276" s="631">
        <v>0</v>
      </c>
      <c r="U276" s="631"/>
      <c r="V276" s="631"/>
      <c r="Y276" s="631">
        <v>0</v>
      </c>
      <c r="Z276" s="631"/>
      <c r="AA276" s="631"/>
      <c r="AB276" s="631"/>
      <c r="AC276" s="631"/>
      <c r="AD276" s="631"/>
      <c r="AF276" s="627">
        <v>58397649.450000003</v>
      </c>
      <c r="AG276" s="627"/>
      <c r="AH276" s="627"/>
      <c r="AI276" s="627"/>
      <c r="AJ276" s="627"/>
      <c r="AK276" s="627"/>
      <c r="AL276" s="627"/>
    </row>
    <row r="277" spans="1:38" ht="11.1" customHeight="1" x14ac:dyDescent="0.25">
      <c r="A277" s="630" t="s">
        <v>3593</v>
      </c>
      <c r="B277" s="630"/>
      <c r="C277" s="630"/>
      <c r="L277" s="630" t="s">
        <v>591</v>
      </c>
      <c r="M277" s="630"/>
      <c r="N277" s="630"/>
      <c r="O277" s="630"/>
      <c r="P277" s="630"/>
      <c r="Q277" s="627">
        <v>17683388.34</v>
      </c>
      <c r="R277" s="627"/>
      <c r="T277" s="631">
        <v>0</v>
      </c>
      <c r="U277" s="631"/>
      <c r="V277" s="631"/>
      <c r="Y277" s="631">
        <v>0</v>
      </c>
      <c r="Z277" s="631"/>
      <c r="AA277" s="631"/>
      <c r="AB277" s="631"/>
      <c r="AC277" s="631"/>
      <c r="AD277" s="631"/>
      <c r="AF277" s="627">
        <v>17683388.34</v>
      </c>
      <c r="AG277" s="627"/>
      <c r="AH277" s="627"/>
      <c r="AI277" s="627"/>
      <c r="AJ277" s="627"/>
      <c r="AK277" s="627"/>
      <c r="AL277" s="627"/>
    </row>
    <row r="278" spans="1:38" ht="11.1" customHeight="1" x14ac:dyDescent="0.25">
      <c r="A278" s="630" t="s">
        <v>3594</v>
      </c>
      <c r="B278" s="630"/>
      <c r="C278" s="630"/>
      <c r="M278" s="630" t="s">
        <v>602</v>
      </c>
      <c r="N278" s="630"/>
      <c r="O278" s="630"/>
      <c r="P278" s="630"/>
      <c r="Q278" s="627">
        <v>17580943.199999999</v>
      </c>
      <c r="R278" s="627"/>
      <c r="T278" s="631">
        <v>0</v>
      </c>
      <c r="U278" s="631"/>
      <c r="V278" s="631"/>
      <c r="Y278" s="631">
        <v>0</v>
      </c>
      <c r="Z278" s="631"/>
      <c r="AA278" s="631"/>
      <c r="AB278" s="631"/>
      <c r="AC278" s="631"/>
      <c r="AD278" s="631"/>
      <c r="AF278" s="627">
        <v>17580943.199999999</v>
      </c>
      <c r="AG278" s="627"/>
      <c r="AH278" s="627"/>
      <c r="AI278" s="627"/>
      <c r="AJ278" s="627"/>
      <c r="AK278" s="627"/>
      <c r="AL278" s="627"/>
    </row>
    <row r="279" spans="1:38" ht="11.1" customHeight="1" x14ac:dyDescent="0.25">
      <c r="A279" s="630" t="s">
        <v>3595</v>
      </c>
      <c r="B279" s="630"/>
      <c r="C279" s="630"/>
      <c r="M279" s="630" t="s">
        <v>604</v>
      </c>
      <c r="N279" s="630"/>
      <c r="O279" s="630"/>
      <c r="P279" s="630"/>
      <c r="Q279" s="627">
        <v>102445.14</v>
      </c>
      <c r="R279" s="627"/>
      <c r="T279" s="631">
        <v>0</v>
      </c>
      <c r="U279" s="631"/>
      <c r="V279" s="631"/>
      <c r="Y279" s="631">
        <v>0</v>
      </c>
      <c r="Z279" s="631"/>
      <c r="AA279" s="631"/>
      <c r="AB279" s="631"/>
      <c r="AC279" s="631"/>
      <c r="AD279" s="631"/>
      <c r="AF279" s="627">
        <v>102445.14</v>
      </c>
      <c r="AG279" s="627"/>
      <c r="AH279" s="627"/>
      <c r="AI279" s="627"/>
      <c r="AJ279" s="627"/>
      <c r="AK279" s="627"/>
      <c r="AL279" s="627"/>
    </row>
    <row r="280" spans="1:38" ht="11.1" customHeight="1" x14ac:dyDescent="0.25">
      <c r="A280" s="630" t="s">
        <v>3596</v>
      </c>
      <c r="B280" s="630"/>
      <c r="C280" s="630"/>
      <c r="K280" s="630" t="s">
        <v>568</v>
      </c>
      <c r="L280" s="630"/>
      <c r="M280" s="630"/>
      <c r="N280" s="630"/>
      <c r="O280" s="630"/>
      <c r="P280" s="630"/>
      <c r="Q280" s="627">
        <v>21482687.5</v>
      </c>
      <c r="R280" s="627"/>
      <c r="T280" s="631">
        <v>0</v>
      </c>
      <c r="U280" s="631"/>
      <c r="V280" s="631"/>
      <c r="Y280" s="631">
        <v>0</v>
      </c>
      <c r="Z280" s="631"/>
      <c r="AA280" s="631"/>
      <c r="AB280" s="631"/>
      <c r="AC280" s="631"/>
      <c r="AD280" s="631"/>
      <c r="AF280" s="627">
        <v>21482687.5</v>
      </c>
      <c r="AG280" s="627"/>
      <c r="AH280" s="627"/>
      <c r="AI280" s="627"/>
      <c r="AJ280" s="627"/>
      <c r="AK280" s="627"/>
      <c r="AL280" s="627"/>
    </row>
    <row r="281" spans="1:38" ht="11.1" customHeight="1" x14ac:dyDescent="0.25">
      <c r="A281" s="630" t="s">
        <v>3597</v>
      </c>
      <c r="B281" s="630"/>
      <c r="C281" s="630"/>
      <c r="L281" s="630" t="s">
        <v>586</v>
      </c>
      <c r="M281" s="630"/>
      <c r="N281" s="630"/>
      <c r="O281" s="630"/>
      <c r="P281" s="630"/>
      <c r="Q281" s="627">
        <v>5815705.1299999999</v>
      </c>
      <c r="R281" s="627"/>
      <c r="T281" s="631">
        <v>0</v>
      </c>
      <c r="U281" s="631"/>
      <c r="V281" s="631"/>
      <c r="Y281" s="631">
        <v>0</v>
      </c>
      <c r="Z281" s="631"/>
      <c r="AA281" s="631"/>
      <c r="AB281" s="631"/>
      <c r="AC281" s="631"/>
      <c r="AD281" s="631"/>
      <c r="AF281" s="627">
        <v>5815705.1299999999</v>
      </c>
      <c r="AG281" s="627"/>
      <c r="AH281" s="627"/>
      <c r="AI281" s="627"/>
      <c r="AJ281" s="627"/>
      <c r="AK281" s="627"/>
      <c r="AL281" s="627"/>
    </row>
    <row r="282" spans="1:38" ht="11.1" customHeight="1" x14ac:dyDescent="0.25">
      <c r="A282" s="630" t="s">
        <v>3598</v>
      </c>
      <c r="B282" s="630"/>
      <c r="C282" s="630"/>
      <c r="M282" s="630" t="s">
        <v>568</v>
      </c>
      <c r="N282" s="630"/>
      <c r="O282" s="630"/>
      <c r="P282" s="630"/>
      <c r="Q282" s="627">
        <v>5815705.1299999999</v>
      </c>
      <c r="R282" s="627"/>
      <c r="T282" s="631">
        <v>0</v>
      </c>
      <c r="U282" s="631"/>
      <c r="V282" s="631"/>
      <c r="Y282" s="631">
        <v>0</v>
      </c>
      <c r="Z282" s="631"/>
      <c r="AA282" s="631"/>
      <c r="AB282" s="631"/>
      <c r="AC282" s="631"/>
      <c r="AD282" s="631"/>
      <c r="AF282" s="627">
        <v>5815705.1299999999</v>
      </c>
      <c r="AG282" s="627"/>
      <c r="AH282" s="627"/>
      <c r="AI282" s="627"/>
      <c r="AJ282" s="627"/>
      <c r="AK282" s="627"/>
      <c r="AL282" s="627"/>
    </row>
    <row r="283" spans="1:38" ht="11.1" customHeight="1" x14ac:dyDescent="0.25">
      <c r="A283" s="630" t="s">
        <v>3599</v>
      </c>
      <c r="B283" s="630"/>
      <c r="C283" s="630"/>
      <c r="L283" s="630" t="s">
        <v>302</v>
      </c>
      <c r="M283" s="630"/>
      <c r="N283" s="630"/>
      <c r="O283" s="630"/>
      <c r="P283" s="630"/>
      <c r="Q283" s="627">
        <v>11849862.41</v>
      </c>
      <c r="R283" s="627"/>
      <c r="T283" s="631">
        <v>0</v>
      </c>
      <c r="U283" s="631"/>
      <c r="V283" s="631"/>
      <c r="Y283" s="631">
        <v>0</v>
      </c>
      <c r="Z283" s="631"/>
      <c r="AA283" s="631"/>
      <c r="AB283" s="631"/>
      <c r="AC283" s="631"/>
      <c r="AD283" s="631"/>
      <c r="AF283" s="627">
        <v>11849862.41</v>
      </c>
      <c r="AG283" s="627"/>
      <c r="AH283" s="627"/>
      <c r="AI283" s="627"/>
      <c r="AJ283" s="627"/>
      <c r="AK283" s="627"/>
      <c r="AL283" s="627"/>
    </row>
    <row r="284" spans="1:38" ht="11.1" customHeight="1" x14ac:dyDescent="0.25">
      <c r="A284" s="630" t="s">
        <v>3600</v>
      </c>
      <c r="B284" s="630"/>
      <c r="C284" s="630"/>
      <c r="M284" s="630" t="s">
        <v>568</v>
      </c>
      <c r="N284" s="630"/>
      <c r="O284" s="630"/>
      <c r="P284" s="630"/>
      <c r="Q284" s="627">
        <v>11849862.41</v>
      </c>
      <c r="R284" s="627"/>
      <c r="T284" s="631">
        <v>0</v>
      </c>
      <c r="U284" s="631"/>
      <c r="V284" s="631"/>
      <c r="Y284" s="631">
        <v>0</v>
      </c>
      <c r="Z284" s="631"/>
      <c r="AA284" s="631"/>
      <c r="AB284" s="631"/>
      <c r="AC284" s="631"/>
      <c r="AD284" s="631"/>
      <c r="AF284" s="627">
        <v>11849862.41</v>
      </c>
      <c r="AG284" s="627"/>
      <c r="AH284" s="627"/>
      <c r="AI284" s="627"/>
      <c r="AJ284" s="627"/>
      <c r="AK284" s="627"/>
      <c r="AL284" s="627"/>
    </row>
    <row r="285" spans="1:38" ht="11.1" customHeight="1" x14ac:dyDescent="0.25">
      <c r="A285" s="630" t="s">
        <v>3601</v>
      </c>
      <c r="B285" s="630"/>
      <c r="C285" s="630"/>
      <c r="L285" s="630" t="s">
        <v>591</v>
      </c>
      <c r="M285" s="630"/>
      <c r="N285" s="630"/>
      <c r="O285" s="630"/>
      <c r="P285" s="630"/>
      <c r="Q285" s="627">
        <v>3817119.96</v>
      </c>
      <c r="R285" s="627"/>
      <c r="T285" s="631">
        <v>0</v>
      </c>
      <c r="U285" s="631"/>
      <c r="V285" s="631"/>
      <c r="Y285" s="631">
        <v>0</v>
      </c>
      <c r="Z285" s="631"/>
      <c r="AA285" s="631"/>
      <c r="AB285" s="631"/>
      <c r="AC285" s="631"/>
      <c r="AD285" s="631"/>
      <c r="AF285" s="627">
        <v>3817119.96</v>
      </c>
      <c r="AG285" s="627"/>
      <c r="AH285" s="627"/>
      <c r="AI285" s="627"/>
      <c r="AJ285" s="627"/>
      <c r="AK285" s="627"/>
      <c r="AL285" s="627"/>
    </row>
    <row r="286" spans="1:38" ht="11.1" customHeight="1" x14ac:dyDescent="0.25">
      <c r="A286" s="630" t="s">
        <v>3602</v>
      </c>
      <c r="B286" s="630"/>
      <c r="C286" s="630"/>
      <c r="M286" s="630" t="s">
        <v>612</v>
      </c>
      <c r="N286" s="630"/>
      <c r="O286" s="630"/>
      <c r="P286" s="630"/>
      <c r="Q286" s="627">
        <v>3618604.34</v>
      </c>
      <c r="R286" s="627"/>
      <c r="T286" s="631">
        <v>0</v>
      </c>
      <c r="U286" s="631"/>
      <c r="V286" s="631"/>
      <c r="Y286" s="631">
        <v>0</v>
      </c>
      <c r="Z286" s="631"/>
      <c r="AA286" s="631"/>
      <c r="AB286" s="631"/>
      <c r="AC286" s="631"/>
      <c r="AD286" s="631"/>
      <c r="AF286" s="627">
        <v>3618604.34</v>
      </c>
      <c r="AG286" s="627"/>
      <c r="AH286" s="627"/>
      <c r="AI286" s="627"/>
      <c r="AJ286" s="627"/>
      <c r="AK286" s="627"/>
      <c r="AL286" s="627"/>
    </row>
    <row r="287" spans="1:38" ht="11.1" customHeight="1" x14ac:dyDescent="0.25">
      <c r="A287" s="630" t="s">
        <v>3603</v>
      </c>
      <c r="B287" s="630"/>
      <c r="C287" s="630"/>
      <c r="M287" s="630" t="s">
        <v>614</v>
      </c>
      <c r="N287" s="630"/>
      <c r="O287" s="630"/>
      <c r="P287" s="630"/>
      <c r="Q287" s="627">
        <v>198515.62</v>
      </c>
      <c r="R287" s="627"/>
      <c r="T287" s="631">
        <v>0</v>
      </c>
      <c r="U287" s="631"/>
      <c r="V287" s="631"/>
      <c r="Y287" s="631">
        <v>0</v>
      </c>
      <c r="Z287" s="631"/>
      <c r="AA287" s="631"/>
      <c r="AB287" s="631"/>
      <c r="AC287" s="631"/>
      <c r="AD287" s="631"/>
      <c r="AF287" s="627">
        <v>198515.62</v>
      </c>
      <c r="AG287" s="627"/>
      <c r="AH287" s="627"/>
      <c r="AI287" s="627"/>
      <c r="AJ287" s="627"/>
      <c r="AK287" s="627"/>
      <c r="AL287" s="627"/>
    </row>
    <row r="288" spans="1:38" ht="11.1" customHeight="1" x14ac:dyDescent="0.25">
      <c r="A288" s="630" t="s">
        <v>3604</v>
      </c>
      <c r="B288" s="630"/>
      <c r="C288" s="630"/>
      <c r="K288" s="630" t="s">
        <v>616</v>
      </c>
      <c r="L288" s="630"/>
      <c r="M288" s="630"/>
      <c r="N288" s="630"/>
      <c r="O288" s="630"/>
      <c r="P288" s="630"/>
      <c r="Q288" s="627">
        <v>68275408.140000001</v>
      </c>
      <c r="R288" s="627"/>
      <c r="T288" s="631">
        <v>0</v>
      </c>
      <c r="U288" s="631"/>
      <c r="V288" s="631"/>
      <c r="Y288" s="631">
        <v>0</v>
      </c>
      <c r="Z288" s="631"/>
      <c r="AA288" s="631"/>
      <c r="AB288" s="631"/>
      <c r="AC288" s="631"/>
      <c r="AD288" s="631"/>
      <c r="AF288" s="627">
        <v>68275408.140000001</v>
      </c>
      <c r="AG288" s="627"/>
      <c r="AH288" s="627"/>
      <c r="AI288" s="627"/>
      <c r="AJ288" s="627"/>
      <c r="AK288" s="627"/>
      <c r="AL288" s="627"/>
    </row>
    <row r="289" spans="1:38" ht="11.1" customHeight="1" x14ac:dyDescent="0.25">
      <c r="A289" s="630" t="s">
        <v>3605</v>
      </c>
      <c r="B289" s="630"/>
      <c r="C289" s="630"/>
      <c r="L289" s="630" t="s">
        <v>586</v>
      </c>
      <c r="M289" s="630"/>
      <c r="N289" s="630"/>
      <c r="O289" s="630"/>
      <c r="P289" s="630"/>
      <c r="Q289" s="627">
        <v>18563917.91</v>
      </c>
      <c r="R289" s="627"/>
      <c r="T289" s="631">
        <v>0</v>
      </c>
      <c r="U289" s="631"/>
      <c r="V289" s="631"/>
      <c r="Y289" s="631">
        <v>0</v>
      </c>
      <c r="Z289" s="631"/>
      <c r="AA289" s="631"/>
      <c r="AB289" s="631"/>
      <c r="AC289" s="631"/>
      <c r="AD289" s="631"/>
      <c r="AF289" s="627">
        <v>18563917.91</v>
      </c>
      <c r="AG289" s="627"/>
      <c r="AH289" s="627"/>
      <c r="AI289" s="627"/>
      <c r="AJ289" s="627"/>
      <c r="AK289" s="627"/>
      <c r="AL289" s="627"/>
    </row>
    <row r="290" spans="1:38" ht="11.1" customHeight="1" x14ac:dyDescent="0.25">
      <c r="A290" s="630" t="s">
        <v>3606</v>
      </c>
      <c r="B290" s="630"/>
      <c r="C290" s="630"/>
      <c r="M290" s="630" t="s">
        <v>616</v>
      </c>
      <c r="N290" s="630"/>
      <c r="O290" s="630"/>
      <c r="P290" s="630"/>
      <c r="Q290" s="627">
        <v>18563917.91</v>
      </c>
      <c r="R290" s="627"/>
      <c r="T290" s="631">
        <v>0</v>
      </c>
      <c r="U290" s="631"/>
      <c r="V290" s="631"/>
      <c r="Y290" s="631">
        <v>0</v>
      </c>
      <c r="Z290" s="631"/>
      <c r="AA290" s="631"/>
      <c r="AB290" s="631"/>
      <c r="AC290" s="631"/>
      <c r="AD290" s="631"/>
      <c r="AF290" s="627">
        <v>18563917.91</v>
      </c>
      <c r="AG290" s="627"/>
      <c r="AH290" s="627"/>
      <c r="AI290" s="627"/>
      <c r="AJ290" s="627"/>
      <c r="AK290" s="627"/>
      <c r="AL290" s="627"/>
    </row>
    <row r="291" spans="1:38" ht="11.1" customHeight="1" x14ac:dyDescent="0.25">
      <c r="A291" s="630" t="s">
        <v>3607</v>
      </c>
      <c r="B291" s="630"/>
      <c r="C291" s="630"/>
      <c r="L291" s="630" t="s">
        <v>302</v>
      </c>
      <c r="M291" s="630"/>
      <c r="N291" s="630"/>
      <c r="O291" s="630"/>
      <c r="P291" s="630"/>
      <c r="Q291" s="627">
        <v>35623944.25</v>
      </c>
      <c r="R291" s="627"/>
      <c r="T291" s="631">
        <v>0</v>
      </c>
      <c r="U291" s="631"/>
      <c r="V291" s="631"/>
      <c r="Y291" s="631">
        <v>0</v>
      </c>
      <c r="Z291" s="631"/>
      <c r="AA291" s="631"/>
      <c r="AB291" s="631"/>
      <c r="AC291" s="631"/>
      <c r="AD291" s="631"/>
      <c r="AF291" s="627">
        <v>35623944.25</v>
      </c>
      <c r="AG291" s="627"/>
      <c r="AH291" s="627"/>
      <c r="AI291" s="627"/>
      <c r="AJ291" s="627"/>
      <c r="AK291" s="627"/>
      <c r="AL291" s="627"/>
    </row>
    <row r="292" spans="1:38" ht="11.1" customHeight="1" x14ac:dyDescent="0.25">
      <c r="A292" s="630" t="s">
        <v>3608</v>
      </c>
      <c r="B292" s="630"/>
      <c r="C292" s="630"/>
      <c r="M292" s="630" t="s">
        <v>616</v>
      </c>
      <c r="N292" s="630"/>
      <c r="O292" s="630"/>
      <c r="P292" s="630"/>
      <c r="Q292" s="627">
        <v>35623944.25</v>
      </c>
      <c r="R292" s="627"/>
      <c r="T292" s="631">
        <v>0</v>
      </c>
      <c r="U292" s="631"/>
      <c r="V292" s="631"/>
      <c r="Y292" s="631">
        <v>0</v>
      </c>
      <c r="Z292" s="631"/>
      <c r="AA292" s="631"/>
      <c r="AB292" s="631"/>
      <c r="AC292" s="631"/>
      <c r="AD292" s="631"/>
      <c r="AF292" s="627">
        <v>35623944.25</v>
      </c>
      <c r="AG292" s="627"/>
      <c r="AH292" s="627"/>
      <c r="AI292" s="627"/>
      <c r="AJ292" s="627"/>
      <c r="AK292" s="627"/>
      <c r="AL292" s="627"/>
    </row>
    <row r="293" spans="1:38" ht="11.1" customHeight="1" x14ac:dyDescent="0.25">
      <c r="A293" s="630" t="s">
        <v>3609</v>
      </c>
      <c r="B293" s="630"/>
      <c r="C293" s="630"/>
      <c r="L293" s="630" t="s">
        <v>591</v>
      </c>
      <c r="M293" s="630"/>
      <c r="N293" s="630"/>
      <c r="O293" s="630"/>
      <c r="P293" s="630"/>
      <c r="Q293" s="627">
        <v>14087545.98</v>
      </c>
      <c r="R293" s="627"/>
      <c r="T293" s="631">
        <v>0</v>
      </c>
      <c r="U293" s="631"/>
      <c r="V293" s="631"/>
      <c r="Y293" s="631">
        <v>0</v>
      </c>
      <c r="Z293" s="631"/>
      <c r="AA293" s="631"/>
      <c r="AB293" s="631"/>
      <c r="AC293" s="631"/>
      <c r="AD293" s="631"/>
      <c r="AF293" s="627">
        <v>14087545.98</v>
      </c>
      <c r="AG293" s="627"/>
      <c r="AH293" s="627"/>
      <c r="AI293" s="627"/>
      <c r="AJ293" s="627"/>
      <c r="AK293" s="627"/>
      <c r="AL293" s="627"/>
    </row>
    <row r="294" spans="1:38" ht="11.1" customHeight="1" x14ac:dyDescent="0.25">
      <c r="A294" s="630" t="s">
        <v>3610</v>
      </c>
      <c r="B294" s="630"/>
      <c r="C294" s="630"/>
      <c r="M294" s="630" t="s">
        <v>616</v>
      </c>
      <c r="N294" s="630"/>
      <c r="O294" s="630"/>
      <c r="P294" s="630"/>
      <c r="Q294" s="627">
        <v>13763747.800000001</v>
      </c>
      <c r="R294" s="627"/>
      <c r="T294" s="631">
        <v>0</v>
      </c>
      <c r="U294" s="631"/>
      <c r="V294" s="631"/>
      <c r="Y294" s="631">
        <v>0</v>
      </c>
      <c r="Z294" s="631"/>
      <c r="AA294" s="631"/>
      <c r="AB294" s="631"/>
      <c r="AC294" s="631"/>
      <c r="AD294" s="631"/>
      <c r="AF294" s="627">
        <v>13763747.800000001</v>
      </c>
      <c r="AG294" s="627"/>
      <c r="AH294" s="627"/>
      <c r="AI294" s="627"/>
      <c r="AJ294" s="627"/>
      <c r="AK294" s="627"/>
      <c r="AL294" s="627"/>
    </row>
    <row r="295" spans="1:38" ht="11.1" customHeight="1" x14ac:dyDescent="0.25">
      <c r="A295" s="630" t="s">
        <v>3611</v>
      </c>
      <c r="B295" s="630"/>
      <c r="C295" s="630"/>
      <c r="M295" s="630" t="s">
        <v>624</v>
      </c>
      <c r="N295" s="630"/>
      <c r="O295" s="630"/>
      <c r="P295" s="630"/>
      <c r="Q295" s="627">
        <v>323798.18</v>
      </c>
      <c r="R295" s="627"/>
      <c r="T295" s="631">
        <v>0</v>
      </c>
      <c r="U295" s="631"/>
      <c r="V295" s="631"/>
      <c r="Y295" s="631">
        <v>0</v>
      </c>
      <c r="Z295" s="631"/>
      <c r="AA295" s="631"/>
      <c r="AB295" s="631"/>
      <c r="AC295" s="631"/>
      <c r="AD295" s="631"/>
      <c r="AF295" s="627">
        <v>323798.18</v>
      </c>
      <c r="AG295" s="627"/>
      <c r="AH295" s="627"/>
      <c r="AI295" s="627"/>
      <c r="AJ295" s="627"/>
      <c r="AK295" s="627"/>
      <c r="AL295" s="627"/>
    </row>
    <row r="296" spans="1:38" ht="11.1" customHeight="1" x14ac:dyDescent="0.25">
      <c r="A296" s="630" t="s">
        <v>3612</v>
      </c>
      <c r="B296" s="630"/>
      <c r="C296" s="630"/>
      <c r="K296" s="630" t="s">
        <v>626</v>
      </c>
      <c r="L296" s="630"/>
      <c r="M296" s="630"/>
      <c r="N296" s="630"/>
      <c r="O296" s="630"/>
      <c r="P296" s="630"/>
      <c r="Q296" s="627">
        <v>119715.93</v>
      </c>
      <c r="R296" s="627"/>
      <c r="T296" s="631">
        <v>0</v>
      </c>
      <c r="U296" s="631"/>
      <c r="V296" s="631"/>
      <c r="Y296" s="631">
        <v>0</v>
      </c>
      <c r="Z296" s="631"/>
      <c r="AA296" s="631"/>
      <c r="AB296" s="631"/>
      <c r="AC296" s="631"/>
      <c r="AD296" s="631"/>
      <c r="AF296" s="627">
        <v>119715.93</v>
      </c>
      <c r="AG296" s="627"/>
      <c r="AH296" s="627"/>
      <c r="AI296" s="627"/>
      <c r="AJ296" s="627"/>
      <c r="AK296" s="627"/>
      <c r="AL296" s="627"/>
    </row>
    <row r="297" spans="1:38" ht="11.1" customHeight="1" x14ac:dyDescent="0.25">
      <c r="A297" s="630" t="s">
        <v>3613</v>
      </c>
      <c r="B297" s="630"/>
      <c r="C297" s="630"/>
      <c r="L297" s="630" t="s">
        <v>586</v>
      </c>
      <c r="M297" s="630"/>
      <c r="N297" s="630"/>
      <c r="O297" s="630"/>
      <c r="P297" s="630"/>
      <c r="Q297" s="627">
        <v>2076</v>
      </c>
      <c r="R297" s="627"/>
      <c r="T297" s="631">
        <v>0</v>
      </c>
      <c r="U297" s="631"/>
      <c r="V297" s="631"/>
      <c r="Y297" s="631">
        <v>0</v>
      </c>
      <c r="Z297" s="631"/>
      <c r="AA297" s="631"/>
      <c r="AB297" s="631"/>
      <c r="AC297" s="631"/>
      <c r="AD297" s="631"/>
      <c r="AF297" s="627">
        <v>2076</v>
      </c>
      <c r="AG297" s="627"/>
      <c r="AH297" s="627"/>
      <c r="AI297" s="627"/>
      <c r="AJ297" s="627"/>
      <c r="AK297" s="627"/>
      <c r="AL297" s="627"/>
    </row>
    <row r="298" spans="1:38" ht="11.1" customHeight="1" x14ac:dyDescent="0.25">
      <c r="A298" s="630" t="s">
        <v>3614</v>
      </c>
      <c r="B298" s="630"/>
      <c r="C298" s="630"/>
      <c r="M298" s="630" t="s">
        <v>626</v>
      </c>
      <c r="N298" s="630"/>
      <c r="O298" s="630"/>
      <c r="P298" s="630"/>
      <c r="Q298" s="627">
        <v>2076</v>
      </c>
      <c r="R298" s="627"/>
      <c r="T298" s="631">
        <v>0</v>
      </c>
      <c r="U298" s="631"/>
      <c r="V298" s="631"/>
      <c r="Y298" s="631">
        <v>0</v>
      </c>
      <c r="Z298" s="631"/>
      <c r="AA298" s="631"/>
      <c r="AB298" s="631"/>
      <c r="AC298" s="631"/>
      <c r="AD298" s="631"/>
      <c r="AF298" s="627">
        <v>2076</v>
      </c>
      <c r="AG298" s="627"/>
      <c r="AH298" s="627"/>
      <c r="AI298" s="627"/>
      <c r="AJ298" s="627"/>
      <c r="AK298" s="627"/>
      <c r="AL298" s="627"/>
    </row>
    <row r="299" spans="1:38" ht="11.1" customHeight="1" x14ac:dyDescent="0.25">
      <c r="A299" s="630" t="s">
        <v>3615</v>
      </c>
      <c r="B299" s="630"/>
      <c r="C299" s="630"/>
      <c r="L299" s="630" t="s">
        <v>302</v>
      </c>
      <c r="M299" s="630"/>
      <c r="N299" s="630"/>
      <c r="O299" s="630"/>
      <c r="P299" s="630"/>
      <c r="Q299" s="627">
        <v>117639.93</v>
      </c>
      <c r="R299" s="627"/>
      <c r="T299" s="631">
        <v>0</v>
      </c>
      <c r="U299" s="631"/>
      <c r="V299" s="631"/>
      <c r="Y299" s="631">
        <v>0</v>
      </c>
      <c r="Z299" s="631"/>
      <c r="AA299" s="631"/>
      <c r="AB299" s="631"/>
      <c r="AC299" s="631"/>
      <c r="AD299" s="631"/>
      <c r="AF299" s="627">
        <v>117639.93</v>
      </c>
      <c r="AG299" s="627"/>
      <c r="AH299" s="627"/>
      <c r="AI299" s="627"/>
      <c r="AJ299" s="627"/>
      <c r="AK299" s="627"/>
      <c r="AL299" s="627"/>
    </row>
    <row r="300" spans="1:38" ht="11.1" customHeight="1" x14ac:dyDescent="0.25">
      <c r="A300" s="630" t="s">
        <v>3616</v>
      </c>
      <c r="B300" s="630"/>
      <c r="C300" s="630"/>
      <c r="M300" s="630" t="s">
        <v>626</v>
      </c>
      <c r="N300" s="630"/>
      <c r="O300" s="630"/>
      <c r="P300" s="630"/>
      <c r="Q300" s="627">
        <v>117639.93</v>
      </c>
      <c r="R300" s="627"/>
      <c r="T300" s="631">
        <v>0</v>
      </c>
      <c r="U300" s="631"/>
      <c r="V300" s="631"/>
      <c r="Y300" s="631">
        <v>0</v>
      </c>
      <c r="Z300" s="631"/>
      <c r="AA300" s="631"/>
      <c r="AB300" s="631"/>
      <c r="AC300" s="631"/>
      <c r="AD300" s="631"/>
      <c r="AF300" s="627">
        <v>117639.93</v>
      </c>
      <c r="AG300" s="627"/>
      <c r="AH300" s="627"/>
      <c r="AI300" s="627"/>
      <c r="AJ300" s="627"/>
      <c r="AK300" s="627"/>
      <c r="AL300" s="627"/>
    </row>
    <row r="301" spans="1:38" ht="11.1" customHeight="1" x14ac:dyDescent="0.25">
      <c r="A301" s="630" t="s">
        <v>3617</v>
      </c>
      <c r="B301" s="630"/>
      <c r="C301" s="630"/>
      <c r="K301" s="630" t="s">
        <v>632</v>
      </c>
      <c r="L301" s="630"/>
      <c r="M301" s="630"/>
      <c r="N301" s="630"/>
      <c r="O301" s="630"/>
      <c r="P301" s="630"/>
      <c r="Q301" s="627">
        <v>117302.37</v>
      </c>
      <c r="R301" s="627"/>
      <c r="T301" s="631">
        <v>0</v>
      </c>
      <c r="U301" s="631"/>
      <c r="V301" s="631"/>
      <c r="Y301" s="631">
        <v>0</v>
      </c>
      <c r="Z301" s="631"/>
      <c r="AA301" s="631"/>
      <c r="AB301" s="631"/>
      <c r="AC301" s="631"/>
      <c r="AD301" s="631"/>
      <c r="AF301" s="627">
        <v>117302.37</v>
      </c>
      <c r="AG301" s="627"/>
      <c r="AH301" s="627"/>
      <c r="AI301" s="627"/>
      <c r="AJ301" s="627"/>
      <c r="AK301" s="627"/>
      <c r="AL301" s="627"/>
    </row>
    <row r="302" spans="1:38" ht="11.1" customHeight="1" x14ac:dyDescent="0.25">
      <c r="A302" s="630" t="s">
        <v>3618</v>
      </c>
      <c r="B302" s="630"/>
      <c r="C302" s="630"/>
      <c r="L302" s="630" t="s">
        <v>586</v>
      </c>
      <c r="M302" s="630"/>
      <c r="N302" s="630"/>
      <c r="O302" s="630"/>
      <c r="P302" s="630"/>
      <c r="Q302" s="627">
        <v>27417.07</v>
      </c>
      <c r="R302" s="627"/>
      <c r="T302" s="631">
        <v>0</v>
      </c>
      <c r="U302" s="631"/>
      <c r="V302" s="631"/>
      <c r="Y302" s="631">
        <v>0</v>
      </c>
      <c r="Z302" s="631"/>
      <c r="AA302" s="631"/>
      <c r="AB302" s="631"/>
      <c r="AC302" s="631"/>
      <c r="AD302" s="631"/>
      <c r="AF302" s="627">
        <v>27417.07</v>
      </c>
      <c r="AG302" s="627"/>
      <c r="AH302" s="627"/>
      <c r="AI302" s="627"/>
      <c r="AJ302" s="627"/>
      <c r="AK302" s="627"/>
      <c r="AL302" s="627"/>
    </row>
    <row r="303" spans="1:38" ht="11.1" customHeight="1" x14ac:dyDescent="0.25">
      <c r="A303" s="630" t="s">
        <v>3619</v>
      </c>
      <c r="B303" s="630"/>
      <c r="C303" s="630"/>
      <c r="M303" s="630" t="s">
        <v>632</v>
      </c>
      <c r="N303" s="630"/>
      <c r="O303" s="630"/>
      <c r="P303" s="630"/>
      <c r="Q303" s="627">
        <v>27417.07</v>
      </c>
      <c r="R303" s="627"/>
      <c r="T303" s="631">
        <v>0</v>
      </c>
      <c r="U303" s="631"/>
      <c r="V303" s="631"/>
      <c r="Y303" s="631">
        <v>0</v>
      </c>
      <c r="Z303" s="631"/>
      <c r="AA303" s="631"/>
      <c r="AB303" s="631"/>
      <c r="AC303" s="631"/>
      <c r="AD303" s="631"/>
      <c r="AF303" s="627">
        <v>27417.07</v>
      </c>
      <c r="AG303" s="627"/>
      <c r="AH303" s="627"/>
      <c r="AI303" s="627"/>
      <c r="AJ303" s="627"/>
      <c r="AK303" s="627"/>
      <c r="AL303" s="627"/>
    </row>
    <row r="304" spans="1:38" ht="11.1" customHeight="1" x14ac:dyDescent="0.25">
      <c r="A304" s="630" t="s">
        <v>3620</v>
      </c>
      <c r="B304" s="630"/>
      <c r="C304" s="630"/>
      <c r="L304" s="630" t="s">
        <v>302</v>
      </c>
      <c r="M304" s="630"/>
      <c r="N304" s="630"/>
      <c r="O304" s="630"/>
      <c r="P304" s="630"/>
      <c r="Q304" s="627">
        <v>52292.86</v>
      </c>
      <c r="R304" s="627"/>
      <c r="T304" s="631">
        <v>0</v>
      </c>
      <c r="U304" s="631"/>
      <c r="V304" s="631"/>
      <c r="Y304" s="631">
        <v>0</v>
      </c>
      <c r="Z304" s="631"/>
      <c r="AA304" s="631"/>
      <c r="AB304" s="631"/>
      <c r="AC304" s="631"/>
      <c r="AD304" s="631"/>
      <c r="AF304" s="627">
        <v>52292.86</v>
      </c>
      <c r="AG304" s="627"/>
      <c r="AH304" s="627"/>
      <c r="AI304" s="627"/>
      <c r="AJ304" s="627"/>
      <c r="AK304" s="627"/>
      <c r="AL304" s="627"/>
    </row>
    <row r="305" spans="1:38" ht="11.1" customHeight="1" x14ac:dyDescent="0.25">
      <c r="A305" s="630" t="s">
        <v>3621</v>
      </c>
      <c r="B305" s="630"/>
      <c r="C305" s="630"/>
      <c r="M305" s="630" t="s">
        <v>632</v>
      </c>
      <c r="N305" s="630"/>
      <c r="O305" s="630"/>
      <c r="P305" s="630"/>
      <c r="Q305" s="627">
        <v>52292.86</v>
      </c>
      <c r="R305" s="627"/>
      <c r="T305" s="631">
        <v>0</v>
      </c>
      <c r="U305" s="631"/>
      <c r="V305" s="631"/>
      <c r="Y305" s="631">
        <v>0</v>
      </c>
      <c r="Z305" s="631"/>
      <c r="AA305" s="631"/>
      <c r="AB305" s="631"/>
      <c r="AC305" s="631"/>
      <c r="AD305" s="631"/>
      <c r="AF305" s="627">
        <v>52292.86</v>
      </c>
      <c r="AG305" s="627"/>
      <c r="AH305" s="627"/>
      <c r="AI305" s="627"/>
      <c r="AJ305" s="627"/>
      <c r="AK305" s="627"/>
      <c r="AL305" s="627"/>
    </row>
    <row r="306" spans="1:38" ht="11.1" customHeight="1" x14ac:dyDescent="0.25">
      <c r="A306" s="630" t="s">
        <v>3622</v>
      </c>
      <c r="B306" s="630"/>
      <c r="C306" s="630"/>
      <c r="L306" s="630" t="s">
        <v>591</v>
      </c>
      <c r="M306" s="630"/>
      <c r="N306" s="630"/>
      <c r="O306" s="630"/>
      <c r="P306" s="630"/>
      <c r="Q306" s="627">
        <v>37592.44</v>
      </c>
      <c r="R306" s="627"/>
      <c r="T306" s="631">
        <v>0</v>
      </c>
      <c r="U306" s="631"/>
      <c r="V306" s="631"/>
      <c r="Y306" s="631">
        <v>0</v>
      </c>
      <c r="Z306" s="631"/>
      <c r="AA306" s="631"/>
      <c r="AB306" s="631"/>
      <c r="AC306" s="631"/>
      <c r="AD306" s="631"/>
      <c r="AF306" s="627">
        <v>37592.44</v>
      </c>
      <c r="AG306" s="627"/>
      <c r="AH306" s="627"/>
      <c r="AI306" s="627"/>
      <c r="AJ306" s="627"/>
      <c r="AK306" s="627"/>
      <c r="AL306" s="627"/>
    </row>
    <row r="307" spans="1:38" ht="11.1" customHeight="1" x14ac:dyDescent="0.25">
      <c r="A307" s="630" t="s">
        <v>3623</v>
      </c>
      <c r="B307" s="630"/>
      <c r="C307" s="630"/>
      <c r="M307" s="630" t="s">
        <v>632</v>
      </c>
      <c r="N307" s="630"/>
      <c r="O307" s="630"/>
      <c r="P307" s="630"/>
      <c r="Q307" s="627">
        <v>21891.46</v>
      </c>
      <c r="R307" s="627"/>
      <c r="T307" s="631">
        <v>0</v>
      </c>
      <c r="U307" s="631"/>
      <c r="V307" s="631"/>
      <c r="Y307" s="631">
        <v>0</v>
      </c>
      <c r="Z307" s="631"/>
      <c r="AA307" s="631"/>
      <c r="AB307" s="631"/>
      <c r="AC307" s="631"/>
      <c r="AD307" s="631"/>
      <c r="AF307" s="627">
        <v>21891.46</v>
      </c>
      <c r="AG307" s="627"/>
      <c r="AH307" s="627"/>
      <c r="AI307" s="627"/>
      <c r="AJ307" s="627"/>
      <c r="AK307" s="627"/>
      <c r="AL307" s="627"/>
    </row>
    <row r="308" spans="1:38" ht="11.1" customHeight="1" x14ac:dyDescent="0.25">
      <c r="A308" s="630" t="s">
        <v>3624</v>
      </c>
      <c r="B308" s="630"/>
      <c r="C308" s="630"/>
      <c r="M308" s="630" t="s">
        <v>640</v>
      </c>
      <c r="N308" s="630"/>
      <c r="O308" s="630"/>
      <c r="P308" s="630"/>
      <c r="Q308" s="627">
        <v>15700.98</v>
      </c>
      <c r="R308" s="627"/>
      <c r="T308" s="631">
        <v>0</v>
      </c>
      <c r="U308" s="631"/>
      <c r="V308" s="631"/>
      <c r="Y308" s="631">
        <v>0</v>
      </c>
      <c r="Z308" s="631"/>
      <c r="AA308" s="631"/>
      <c r="AB308" s="631"/>
      <c r="AC308" s="631"/>
      <c r="AD308" s="631"/>
      <c r="AF308" s="627">
        <v>15700.98</v>
      </c>
      <c r="AG308" s="627"/>
      <c r="AH308" s="627"/>
      <c r="AI308" s="627"/>
      <c r="AJ308" s="627"/>
      <c r="AK308" s="627"/>
      <c r="AL308" s="627"/>
    </row>
    <row r="309" spans="1:38" ht="11.1" customHeight="1" x14ac:dyDescent="0.25">
      <c r="A309" s="632" t="s">
        <v>3625</v>
      </c>
      <c r="B309" s="632"/>
      <c r="C309" s="632"/>
      <c r="J309" s="632" t="s">
        <v>642</v>
      </c>
      <c r="K309" s="632"/>
      <c r="L309" s="632"/>
      <c r="M309" s="632"/>
      <c r="N309" s="632"/>
      <c r="O309" s="632"/>
      <c r="P309" s="632"/>
      <c r="Q309" s="633">
        <v>-56922585.210000001</v>
      </c>
      <c r="R309" s="633"/>
      <c r="T309" s="634">
        <v>0.01</v>
      </c>
      <c r="U309" s="634"/>
      <c r="V309" s="634"/>
      <c r="Y309" s="634">
        <v>392487.39</v>
      </c>
      <c r="Z309" s="634"/>
      <c r="AA309" s="634"/>
      <c r="AB309" s="634"/>
      <c r="AC309" s="634"/>
      <c r="AD309" s="634"/>
      <c r="AF309" s="633">
        <v>-57315072.590000004</v>
      </c>
      <c r="AG309" s="633"/>
      <c r="AH309" s="633"/>
      <c r="AI309" s="633"/>
      <c r="AJ309" s="633"/>
      <c r="AK309" s="633"/>
      <c r="AL309" s="633"/>
    </row>
    <row r="310" spans="1:38" ht="11.1" customHeight="1" x14ac:dyDescent="0.25">
      <c r="A310" s="630" t="s">
        <v>3626</v>
      </c>
      <c r="B310" s="630"/>
      <c r="C310" s="630"/>
      <c r="K310" s="630" t="s">
        <v>595</v>
      </c>
      <c r="L310" s="630"/>
      <c r="M310" s="630"/>
      <c r="N310" s="630"/>
      <c r="O310" s="630"/>
      <c r="P310" s="630"/>
      <c r="Q310" s="627">
        <v>-20779980.300000001</v>
      </c>
      <c r="R310" s="627"/>
      <c r="T310" s="631">
        <v>0.01</v>
      </c>
      <c r="U310" s="631"/>
      <c r="V310" s="631"/>
      <c r="Y310" s="631">
        <v>151267.17000000001</v>
      </c>
      <c r="Z310" s="631"/>
      <c r="AA310" s="631"/>
      <c r="AB310" s="631"/>
      <c r="AC310" s="631"/>
      <c r="AD310" s="631"/>
      <c r="AF310" s="627">
        <v>-20931247.460000001</v>
      </c>
      <c r="AG310" s="627"/>
      <c r="AH310" s="627"/>
      <c r="AI310" s="627"/>
      <c r="AJ310" s="627"/>
      <c r="AK310" s="627"/>
      <c r="AL310" s="627"/>
    </row>
    <row r="311" spans="1:38" ht="11.1" customHeight="1" x14ac:dyDescent="0.25">
      <c r="A311" s="630" t="s">
        <v>3627</v>
      </c>
      <c r="B311" s="630"/>
      <c r="C311" s="630"/>
      <c r="L311" s="630" t="s">
        <v>586</v>
      </c>
      <c r="M311" s="630"/>
      <c r="N311" s="630"/>
      <c r="O311" s="630"/>
      <c r="P311" s="630"/>
      <c r="Q311" s="627">
        <v>-2716347.67</v>
      </c>
      <c r="R311" s="627"/>
      <c r="T311" s="631">
        <v>0</v>
      </c>
      <c r="U311" s="631"/>
      <c r="V311" s="631"/>
      <c r="Y311" s="631">
        <v>13205.79</v>
      </c>
      <c r="Z311" s="631"/>
      <c r="AA311" s="631"/>
      <c r="AB311" s="631"/>
      <c r="AC311" s="631"/>
      <c r="AD311" s="631"/>
      <c r="AF311" s="627">
        <v>-2729553.46</v>
      </c>
      <c r="AG311" s="627"/>
      <c r="AH311" s="627"/>
      <c r="AI311" s="627"/>
      <c r="AJ311" s="627"/>
      <c r="AK311" s="627"/>
      <c r="AL311" s="627"/>
    </row>
    <row r="312" spans="1:38" ht="11.1" customHeight="1" x14ac:dyDescent="0.25">
      <c r="A312" s="630" t="s">
        <v>3628</v>
      </c>
      <c r="B312" s="630"/>
      <c r="C312" s="630"/>
      <c r="M312" s="630" t="s">
        <v>595</v>
      </c>
      <c r="N312" s="630"/>
      <c r="O312" s="630"/>
      <c r="P312" s="630"/>
      <c r="Q312" s="627">
        <v>-2716347.67</v>
      </c>
      <c r="R312" s="627"/>
      <c r="T312" s="631">
        <v>0</v>
      </c>
      <c r="U312" s="631"/>
      <c r="V312" s="631"/>
      <c r="Y312" s="631">
        <v>13205.79</v>
      </c>
      <c r="Z312" s="631"/>
      <c r="AA312" s="631"/>
      <c r="AB312" s="631"/>
      <c r="AC312" s="631"/>
      <c r="AD312" s="631"/>
      <c r="AF312" s="627">
        <v>-2729553.46</v>
      </c>
      <c r="AG312" s="627"/>
      <c r="AH312" s="627"/>
      <c r="AI312" s="627"/>
      <c r="AJ312" s="627"/>
      <c r="AK312" s="627"/>
      <c r="AL312" s="627"/>
    </row>
    <row r="313" spans="1:38" ht="11.1" customHeight="1" x14ac:dyDescent="0.25">
      <c r="A313" s="630" t="s">
        <v>3629</v>
      </c>
      <c r="B313" s="630"/>
      <c r="C313" s="630"/>
      <c r="L313" s="630" t="s">
        <v>302</v>
      </c>
      <c r="M313" s="630"/>
      <c r="N313" s="630"/>
      <c r="O313" s="630"/>
      <c r="P313" s="630"/>
      <c r="Q313" s="627">
        <v>-13781453.779999999</v>
      </c>
      <c r="R313" s="627"/>
      <c r="T313" s="631">
        <v>0.01</v>
      </c>
      <c r="U313" s="631"/>
      <c r="V313" s="631"/>
      <c r="Y313" s="631">
        <v>106081.95</v>
      </c>
      <c r="Z313" s="631"/>
      <c r="AA313" s="631"/>
      <c r="AB313" s="631"/>
      <c r="AC313" s="631"/>
      <c r="AD313" s="631"/>
      <c r="AF313" s="627">
        <v>-13887535.720000001</v>
      </c>
      <c r="AG313" s="627"/>
      <c r="AH313" s="627"/>
      <c r="AI313" s="627"/>
      <c r="AJ313" s="627"/>
      <c r="AK313" s="627"/>
      <c r="AL313" s="627"/>
    </row>
    <row r="314" spans="1:38" ht="11.1" customHeight="1" x14ac:dyDescent="0.25">
      <c r="A314" s="630" t="s">
        <v>3630</v>
      </c>
      <c r="B314" s="630"/>
      <c r="C314" s="630"/>
      <c r="M314" s="630" t="s">
        <v>595</v>
      </c>
      <c r="N314" s="630"/>
      <c r="O314" s="630"/>
      <c r="P314" s="630"/>
      <c r="Q314" s="627">
        <v>-13781453.779999999</v>
      </c>
      <c r="R314" s="627"/>
      <c r="T314" s="631">
        <v>0.01</v>
      </c>
      <c r="U314" s="631"/>
      <c r="V314" s="631"/>
      <c r="Y314" s="631">
        <v>106081.95</v>
      </c>
      <c r="Z314" s="631"/>
      <c r="AA314" s="631"/>
      <c r="AB314" s="631"/>
      <c r="AC314" s="631"/>
      <c r="AD314" s="631"/>
      <c r="AF314" s="627">
        <v>-13887535.720000001</v>
      </c>
      <c r="AG314" s="627"/>
      <c r="AH314" s="627"/>
      <c r="AI314" s="627"/>
      <c r="AJ314" s="627"/>
      <c r="AK314" s="627"/>
      <c r="AL314" s="627"/>
    </row>
    <row r="315" spans="1:38" ht="11.1" customHeight="1" x14ac:dyDescent="0.25">
      <c r="A315" s="630" t="s">
        <v>3631</v>
      </c>
      <c r="B315" s="630"/>
      <c r="C315" s="630"/>
      <c r="L315" s="630" t="s">
        <v>591</v>
      </c>
      <c r="M315" s="630"/>
      <c r="N315" s="630"/>
      <c r="O315" s="630"/>
      <c r="P315" s="630"/>
      <c r="Q315" s="627">
        <v>-4282178.8499999996</v>
      </c>
      <c r="R315" s="627"/>
      <c r="T315" s="631">
        <v>0</v>
      </c>
      <c r="U315" s="631"/>
      <c r="V315" s="631"/>
      <c r="Y315" s="631">
        <v>31979.43</v>
      </c>
      <c r="Z315" s="631"/>
      <c r="AA315" s="631"/>
      <c r="AB315" s="631"/>
      <c r="AC315" s="631"/>
      <c r="AD315" s="631"/>
      <c r="AF315" s="627">
        <v>-4314158.28</v>
      </c>
      <c r="AG315" s="627"/>
      <c r="AH315" s="627"/>
      <c r="AI315" s="627"/>
      <c r="AJ315" s="627"/>
      <c r="AK315" s="627"/>
      <c r="AL315" s="627"/>
    </row>
    <row r="316" spans="1:38" ht="11.1" customHeight="1" x14ac:dyDescent="0.25">
      <c r="A316" s="630" t="s">
        <v>3632</v>
      </c>
      <c r="B316" s="630"/>
      <c r="C316" s="630"/>
      <c r="M316" s="630" t="s">
        <v>595</v>
      </c>
      <c r="N316" s="630"/>
      <c r="O316" s="630"/>
      <c r="P316" s="630"/>
      <c r="Q316" s="627">
        <v>-4275593.78</v>
      </c>
      <c r="R316" s="627"/>
      <c r="T316" s="631">
        <v>0</v>
      </c>
      <c r="U316" s="631"/>
      <c r="V316" s="631"/>
      <c r="Y316" s="631">
        <v>31808.69</v>
      </c>
      <c r="Z316" s="631"/>
      <c r="AA316" s="631"/>
      <c r="AB316" s="631"/>
      <c r="AC316" s="631"/>
      <c r="AD316" s="631"/>
      <c r="AF316" s="627">
        <v>-4307402.47</v>
      </c>
      <c r="AG316" s="627"/>
      <c r="AH316" s="627"/>
      <c r="AI316" s="627"/>
      <c r="AJ316" s="627"/>
      <c r="AK316" s="627"/>
      <c r="AL316" s="627"/>
    </row>
    <row r="317" spans="1:38" ht="11.1" customHeight="1" x14ac:dyDescent="0.25">
      <c r="A317" s="630" t="s">
        <v>3633</v>
      </c>
      <c r="B317" s="630"/>
      <c r="C317" s="630"/>
      <c r="M317" s="630" t="s">
        <v>651</v>
      </c>
      <c r="N317" s="630"/>
      <c r="O317" s="630"/>
      <c r="P317" s="630"/>
      <c r="Q317" s="627">
        <v>-6585.07</v>
      </c>
      <c r="R317" s="627"/>
      <c r="T317" s="631">
        <v>0</v>
      </c>
      <c r="U317" s="631"/>
      <c r="V317" s="631"/>
      <c r="Y317" s="631">
        <v>170.74</v>
      </c>
      <c r="Z317" s="631"/>
      <c r="AA317" s="631"/>
      <c r="AB317" s="631"/>
      <c r="AC317" s="631"/>
      <c r="AD317" s="631"/>
      <c r="AF317" s="627">
        <v>-6755.81</v>
      </c>
      <c r="AG317" s="627"/>
      <c r="AH317" s="627"/>
      <c r="AI317" s="627"/>
      <c r="AJ317" s="627"/>
      <c r="AK317" s="627"/>
      <c r="AL317" s="627"/>
    </row>
    <row r="318" spans="1:38" ht="11.1" customHeight="1" x14ac:dyDescent="0.25">
      <c r="A318" s="630" t="s">
        <v>3634</v>
      </c>
      <c r="B318" s="630"/>
      <c r="C318" s="630"/>
      <c r="K318" s="630" t="s">
        <v>568</v>
      </c>
      <c r="L318" s="630"/>
      <c r="M318" s="630"/>
      <c r="N318" s="630"/>
      <c r="O318" s="630"/>
      <c r="P318" s="630"/>
      <c r="Q318" s="627">
        <v>-7616786.9500000002</v>
      </c>
      <c r="R318" s="627"/>
      <c r="T318" s="631">
        <v>0</v>
      </c>
      <c r="U318" s="631"/>
      <c r="V318" s="631"/>
      <c r="Y318" s="631">
        <v>47821.53</v>
      </c>
      <c r="Z318" s="631"/>
      <c r="AA318" s="631"/>
      <c r="AB318" s="631"/>
      <c r="AC318" s="631"/>
      <c r="AD318" s="631"/>
      <c r="AF318" s="627">
        <v>-7664608.4800000004</v>
      </c>
      <c r="AG318" s="627"/>
      <c r="AH318" s="627"/>
      <c r="AI318" s="627"/>
      <c r="AJ318" s="627"/>
      <c r="AK318" s="627"/>
      <c r="AL318" s="627"/>
    </row>
    <row r="319" spans="1:38" ht="11.1" customHeight="1" x14ac:dyDescent="0.25">
      <c r="A319" s="630" t="s">
        <v>3635</v>
      </c>
      <c r="B319" s="630"/>
      <c r="C319" s="630"/>
      <c r="L319" s="630" t="s">
        <v>586</v>
      </c>
      <c r="M319" s="630"/>
      <c r="N319" s="630"/>
      <c r="O319" s="630"/>
      <c r="P319" s="630"/>
      <c r="Q319" s="627">
        <v>-2598111.2400000002</v>
      </c>
      <c r="R319" s="627"/>
      <c r="T319" s="631">
        <v>0</v>
      </c>
      <c r="U319" s="631"/>
      <c r="V319" s="631"/>
      <c r="Y319" s="631">
        <v>11940.34</v>
      </c>
      <c r="Z319" s="631"/>
      <c r="AA319" s="631"/>
      <c r="AB319" s="631"/>
      <c r="AC319" s="631"/>
      <c r="AD319" s="631"/>
      <c r="AF319" s="627">
        <v>-2610051.58</v>
      </c>
      <c r="AG319" s="627"/>
      <c r="AH319" s="627"/>
      <c r="AI319" s="627"/>
      <c r="AJ319" s="627"/>
      <c r="AK319" s="627"/>
      <c r="AL319" s="627"/>
    </row>
    <row r="320" spans="1:38" ht="11.1" customHeight="1" x14ac:dyDescent="0.25">
      <c r="A320" s="630" t="s">
        <v>3636</v>
      </c>
      <c r="B320" s="630"/>
      <c r="C320" s="630"/>
      <c r="M320" s="630" t="s">
        <v>568</v>
      </c>
      <c r="N320" s="630"/>
      <c r="O320" s="630"/>
      <c r="P320" s="630"/>
      <c r="Q320" s="627">
        <v>-2598111.2400000002</v>
      </c>
      <c r="R320" s="627"/>
      <c r="T320" s="631">
        <v>0</v>
      </c>
      <c r="U320" s="631"/>
      <c r="V320" s="631"/>
      <c r="Y320" s="631">
        <v>11940.34</v>
      </c>
      <c r="Z320" s="631"/>
      <c r="AA320" s="631"/>
      <c r="AB320" s="631"/>
      <c r="AC320" s="631"/>
      <c r="AD320" s="631"/>
      <c r="AF320" s="627">
        <v>-2610051.58</v>
      </c>
      <c r="AG320" s="627"/>
      <c r="AH320" s="627"/>
      <c r="AI320" s="627"/>
      <c r="AJ320" s="627"/>
      <c r="AK320" s="627"/>
      <c r="AL320" s="627"/>
    </row>
    <row r="321" spans="1:38" ht="11.1" customHeight="1" x14ac:dyDescent="0.25">
      <c r="A321" s="630" t="s">
        <v>3637</v>
      </c>
      <c r="B321" s="630"/>
      <c r="C321" s="630"/>
      <c r="L321" s="630" t="s">
        <v>302</v>
      </c>
      <c r="M321" s="630"/>
      <c r="N321" s="630"/>
      <c r="O321" s="630"/>
      <c r="P321" s="630"/>
      <c r="Q321" s="627">
        <v>-3408451.3</v>
      </c>
      <c r="R321" s="627"/>
      <c r="T321" s="631">
        <v>0</v>
      </c>
      <c r="U321" s="631"/>
      <c r="V321" s="631"/>
      <c r="Y321" s="631">
        <v>27114.49</v>
      </c>
      <c r="Z321" s="631"/>
      <c r="AA321" s="631"/>
      <c r="AB321" s="631"/>
      <c r="AC321" s="631"/>
      <c r="AD321" s="631"/>
      <c r="AF321" s="627">
        <v>-3435565.79</v>
      </c>
      <c r="AG321" s="627"/>
      <c r="AH321" s="627"/>
      <c r="AI321" s="627"/>
      <c r="AJ321" s="627"/>
      <c r="AK321" s="627"/>
      <c r="AL321" s="627"/>
    </row>
    <row r="322" spans="1:38" ht="11.1" customHeight="1" x14ac:dyDescent="0.25">
      <c r="A322" s="630" t="s">
        <v>3638</v>
      </c>
      <c r="B322" s="630"/>
      <c r="C322" s="630"/>
      <c r="M322" s="630" t="s">
        <v>568</v>
      </c>
      <c r="N322" s="630"/>
      <c r="O322" s="630"/>
      <c r="P322" s="630"/>
      <c r="Q322" s="627">
        <v>-3408451.3</v>
      </c>
      <c r="R322" s="627"/>
      <c r="T322" s="631">
        <v>0</v>
      </c>
      <c r="U322" s="631"/>
      <c r="V322" s="631"/>
      <c r="Y322" s="631">
        <v>27114.49</v>
      </c>
      <c r="Z322" s="631"/>
      <c r="AA322" s="631"/>
      <c r="AB322" s="631"/>
      <c r="AC322" s="631"/>
      <c r="AD322" s="631"/>
      <c r="AF322" s="627">
        <v>-3435565.79</v>
      </c>
      <c r="AG322" s="627"/>
      <c r="AH322" s="627"/>
      <c r="AI322" s="627"/>
      <c r="AJ322" s="627"/>
      <c r="AK322" s="627"/>
      <c r="AL322" s="627"/>
    </row>
    <row r="323" spans="1:38" ht="11.1" customHeight="1" x14ac:dyDescent="0.25">
      <c r="A323" s="630" t="s">
        <v>3639</v>
      </c>
      <c r="B323" s="630"/>
      <c r="C323" s="630"/>
      <c r="L323" s="630" t="s">
        <v>591</v>
      </c>
      <c r="M323" s="630"/>
      <c r="N323" s="630"/>
      <c r="O323" s="630"/>
      <c r="P323" s="630"/>
      <c r="Q323" s="627">
        <v>-1610224.41</v>
      </c>
      <c r="R323" s="627"/>
      <c r="T323" s="631">
        <v>0</v>
      </c>
      <c r="U323" s="631"/>
      <c r="V323" s="631"/>
      <c r="Y323" s="631">
        <v>8766.7000000000007</v>
      </c>
      <c r="Z323" s="631"/>
      <c r="AA323" s="631"/>
      <c r="AB323" s="631"/>
      <c r="AC323" s="631"/>
      <c r="AD323" s="631"/>
      <c r="AF323" s="627">
        <v>-1618991.11</v>
      </c>
      <c r="AG323" s="627"/>
      <c r="AH323" s="627"/>
      <c r="AI323" s="627"/>
      <c r="AJ323" s="627"/>
      <c r="AK323" s="627"/>
      <c r="AL323" s="627"/>
    </row>
    <row r="324" spans="1:38" ht="11.1" customHeight="1" x14ac:dyDescent="0.25">
      <c r="A324" s="630" t="s">
        <v>3640</v>
      </c>
      <c r="B324" s="630"/>
      <c r="C324" s="630"/>
      <c r="M324" s="630" t="s">
        <v>568</v>
      </c>
      <c r="N324" s="630"/>
      <c r="O324" s="630"/>
      <c r="P324" s="630"/>
      <c r="Q324" s="627">
        <v>-1586654.65</v>
      </c>
      <c r="R324" s="627"/>
      <c r="T324" s="631">
        <v>0</v>
      </c>
      <c r="U324" s="631"/>
      <c r="V324" s="631"/>
      <c r="Y324" s="631">
        <v>8285.5400000000009</v>
      </c>
      <c r="Z324" s="631"/>
      <c r="AA324" s="631"/>
      <c r="AB324" s="631"/>
      <c r="AC324" s="631"/>
      <c r="AD324" s="631"/>
      <c r="AF324" s="627">
        <v>-1594940.19</v>
      </c>
      <c r="AG324" s="627"/>
      <c r="AH324" s="627"/>
      <c r="AI324" s="627"/>
      <c r="AJ324" s="627"/>
      <c r="AK324" s="627"/>
      <c r="AL324" s="627"/>
    </row>
    <row r="325" spans="1:38" ht="11.1" customHeight="1" x14ac:dyDescent="0.25">
      <c r="A325" s="630" t="s">
        <v>3641</v>
      </c>
      <c r="B325" s="630"/>
      <c r="C325" s="630"/>
      <c r="M325" s="630" t="s">
        <v>614</v>
      </c>
      <c r="N325" s="630"/>
      <c r="O325" s="630"/>
      <c r="P325" s="630"/>
      <c r="Q325" s="627">
        <v>-23569.759999999998</v>
      </c>
      <c r="R325" s="627"/>
      <c r="T325" s="631">
        <v>0</v>
      </c>
      <c r="U325" s="631"/>
      <c r="V325" s="631"/>
      <c r="Y325" s="631">
        <v>481.16</v>
      </c>
      <c r="Z325" s="631"/>
      <c r="AA325" s="631"/>
      <c r="AB325" s="631"/>
      <c r="AC325" s="631"/>
      <c r="AD325" s="631"/>
      <c r="AF325" s="627">
        <v>-24050.92</v>
      </c>
      <c r="AG325" s="627"/>
      <c r="AH325" s="627"/>
      <c r="AI325" s="627"/>
      <c r="AJ325" s="627"/>
      <c r="AK325" s="627"/>
      <c r="AL325" s="627"/>
    </row>
    <row r="326" spans="1:38" ht="11.1" customHeight="1" x14ac:dyDescent="0.25">
      <c r="A326" s="630" t="s">
        <v>3642</v>
      </c>
      <c r="B326" s="630"/>
      <c r="C326" s="630"/>
      <c r="K326" s="630" t="s">
        <v>616</v>
      </c>
      <c r="L326" s="630"/>
      <c r="M326" s="630"/>
      <c r="N326" s="630"/>
      <c r="O326" s="630"/>
      <c r="P326" s="630"/>
      <c r="Q326" s="627">
        <v>-28343730.079999998</v>
      </c>
      <c r="R326" s="627"/>
      <c r="T326" s="631">
        <v>0</v>
      </c>
      <c r="U326" s="631"/>
      <c r="V326" s="631"/>
      <c r="Y326" s="631">
        <v>191929.47</v>
      </c>
      <c r="Z326" s="631"/>
      <c r="AA326" s="631"/>
      <c r="AB326" s="631"/>
      <c r="AC326" s="631"/>
      <c r="AD326" s="631"/>
      <c r="AF326" s="627">
        <v>-28535659.550000001</v>
      </c>
      <c r="AG326" s="627"/>
      <c r="AH326" s="627"/>
      <c r="AI326" s="627"/>
      <c r="AJ326" s="627"/>
      <c r="AK326" s="627"/>
      <c r="AL326" s="627"/>
    </row>
    <row r="327" spans="1:38" ht="11.1" customHeight="1" x14ac:dyDescent="0.25">
      <c r="A327" s="630" t="s">
        <v>3643</v>
      </c>
      <c r="B327" s="630"/>
      <c r="C327" s="630"/>
      <c r="L327" s="630" t="s">
        <v>586</v>
      </c>
      <c r="M327" s="630"/>
      <c r="N327" s="630"/>
      <c r="O327" s="630"/>
      <c r="P327" s="630"/>
      <c r="Q327" s="627">
        <v>-10287418.82</v>
      </c>
      <c r="R327" s="627"/>
      <c r="T327" s="631">
        <v>0</v>
      </c>
      <c r="U327" s="631"/>
      <c r="V327" s="631"/>
      <c r="Y327" s="631">
        <v>52369.9</v>
      </c>
      <c r="Z327" s="631"/>
      <c r="AA327" s="631"/>
      <c r="AB327" s="631"/>
      <c r="AC327" s="631"/>
      <c r="AD327" s="631"/>
      <c r="AF327" s="627">
        <v>-10339788.720000001</v>
      </c>
      <c r="AG327" s="627"/>
      <c r="AH327" s="627"/>
      <c r="AI327" s="627"/>
      <c r="AJ327" s="627"/>
      <c r="AK327" s="627"/>
      <c r="AL327" s="627"/>
    </row>
    <row r="328" spans="1:38" ht="11.1" customHeight="1" x14ac:dyDescent="0.25">
      <c r="A328" s="630" t="s">
        <v>3644</v>
      </c>
      <c r="B328" s="630"/>
      <c r="C328" s="630"/>
      <c r="M328" s="630" t="s">
        <v>616</v>
      </c>
      <c r="N328" s="630"/>
      <c r="O328" s="630"/>
      <c r="P328" s="630"/>
      <c r="Q328" s="627">
        <v>-10287418.82</v>
      </c>
      <c r="R328" s="627"/>
      <c r="T328" s="631">
        <v>0</v>
      </c>
      <c r="U328" s="631"/>
      <c r="V328" s="631"/>
      <c r="Y328" s="631">
        <v>52369.9</v>
      </c>
      <c r="Z328" s="631"/>
      <c r="AA328" s="631"/>
      <c r="AB328" s="631"/>
      <c r="AC328" s="631"/>
      <c r="AD328" s="631"/>
      <c r="AF328" s="627">
        <v>-10339788.720000001</v>
      </c>
      <c r="AG328" s="627"/>
      <c r="AH328" s="627"/>
      <c r="AI328" s="627"/>
      <c r="AJ328" s="627"/>
      <c r="AK328" s="627"/>
      <c r="AL328" s="627"/>
    </row>
    <row r="329" spans="1:38" ht="11.1" customHeight="1" x14ac:dyDescent="0.25">
      <c r="A329" s="630" t="s">
        <v>3645</v>
      </c>
      <c r="B329" s="630"/>
      <c r="C329" s="630"/>
      <c r="L329" s="630" t="s">
        <v>302</v>
      </c>
      <c r="M329" s="630"/>
      <c r="N329" s="630"/>
      <c r="O329" s="630"/>
      <c r="P329" s="630"/>
      <c r="Q329" s="627">
        <v>-12842442.4</v>
      </c>
      <c r="R329" s="627"/>
      <c r="T329" s="631">
        <v>0</v>
      </c>
      <c r="U329" s="631"/>
      <c r="V329" s="631"/>
      <c r="Y329" s="631">
        <v>101229.06</v>
      </c>
      <c r="Z329" s="631"/>
      <c r="AA329" s="631"/>
      <c r="AB329" s="631"/>
      <c r="AC329" s="631"/>
      <c r="AD329" s="631"/>
      <c r="AF329" s="627">
        <v>-12943671.460000001</v>
      </c>
      <c r="AG329" s="627"/>
      <c r="AH329" s="627"/>
      <c r="AI329" s="627"/>
      <c r="AJ329" s="627"/>
      <c r="AK329" s="627"/>
      <c r="AL329" s="627"/>
    </row>
    <row r="330" spans="1:38" ht="11.1" customHeight="1" x14ac:dyDescent="0.25">
      <c r="A330" s="630" t="s">
        <v>3646</v>
      </c>
      <c r="B330" s="630"/>
      <c r="C330" s="630"/>
      <c r="M330" s="630" t="s">
        <v>616</v>
      </c>
      <c r="N330" s="630"/>
      <c r="O330" s="630"/>
      <c r="P330" s="630"/>
      <c r="Q330" s="627">
        <v>-12842442.4</v>
      </c>
      <c r="R330" s="627"/>
      <c r="T330" s="631">
        <v>0</v>
      </c>
      <c r="U330" s="631"/>
      <c r="V330" s="631"/>
      <c r="Y330" s="631">
        <v>101229.06</v>
      </c>
      <c r="Z330" s="631"/>
      <c r="AA330" s="631"/>
      <c r="AB330" s="631"/>
      <c r="AC330" s="631"/>
      <c r="AD330" s="631"/>
      <c r="AF330" s="627">
        <v>-12943671.460000001</v>
      </c>
      <c r="AG330" s="627"/>
      <c r="AH330" s="627"/>
      <c r="AI330" s="627"/>
      <c r="AJ330" s="627"/>
      <c r="AK330" s="627"/>
      <c r="AL330" s="627"/>
    </row>
    <row r="331" spans="1:38" ht="11.1" customHeight="1" x14ac:dyDescent="0.25">
      <c r="A331" s="630" t="s">
        <v>3647</v>
      </c>
      <c r="B331" s="630"/>
      <c r="C331" s="630"/>
      <c r="L331" s="630" t="s">
        <v>591</v>
      </c>
      <c r="M331" s="630"/>
      <c r="N331" s="630"/>
      <c r="O331" s="630"/>
      <c r="P331" s="630"/>
      <c r="Q331" s="627">
        <v>-5213868.8600000003</v>
      </c>
      <c r="R331" s="627"/>
      <c r="T331" s="631">
        <v>0</v>
      </c>
      <c r="U331" s="631"/>
      <c r="V331" s="631"/>
      <c r="Y331" s="631">
        <v>38330.51</v>
      </c>
      <c r="Z331" s="631"/>
      <c r="AA331" s="631"/>
      <c r="AB331" s="631"/>
      <c r="AC331" s="631"/>
      <c r="AD331" s="631"/>
      <c r="AF331" s="627">
        <v>-5252199.37</v>
      </c>
      <c r="AG331" s="627"/>
      <c r="AH331" s="627"/>
      <c r="AI331" s="627"/>
      <c r="AJ331" s="627"/>
      <c r="AK331" s="627"/>
      <c r="AL331" s="627"/>
    </row>
    <row r="332" spans="1:38" ht="11.1" customHeight="1" x14ac:dyDescent="0.25">
      <c r="A332" s="630" t="s">
        <v>3648</v>
      </c>
      <c r="B332" s="630"/>
      <c r="C332" s="630"/>
      <c r="M332" s="630" t="s">
        <v>616</v>
      </c>
      <c r="N332" s="630"/>
      <c r="O332" s="630"/>
      <c r="P332" s="630"/>
      <c r="Q332" s="627">
        <v>-5184805.43</v>
      </c>
      <c r="R332" s="627"/>
      <c r="T332" s="631">
        <v>0</v>
      </c>
      <c r="U332" s="631"/>
      <c r="V332" s="631"/>
      <c r="Y332" s="631">
        <v>37342.89</v>
      </c>
      <c r="Z332" s="631"/>
      <c r="AA332" s="631"/>
      <c r="AB332" s="631"/>
      <c r="AC332" s="631"/>
      <c r="AD332" s="631"/>
      <c r="AF332" s="627">
        <v>-5222148.32</v>
      </c>
      <c r="AG332" s="627"/>
      <c r="AH332" s="627"/>
      <c r="AI332" s="627"/>
      <c r="AJ332" s="627"/>
      <c r="AK332" s="627"/>
      <c r="AL332" s="627"/>
    </row>
    <row r="333" spans="1:38" ht="11.1" customHeight="1" x14ac:dyDescent="0.25">
      <c r="A333" s="630" t="s">
        <v>3649</v>
      </c>
      <c r="B333" s="630"/>
      <c r="C333" s="630"/>
      <c r="M333" s="630" t="s">
        <v>624</v>
      </c>
      <c r="N333" s="630"/>
      <c r="O333" s="630"/>
      <c r="P333" s="630"/>
      <c r="Q333" s="627">
        <v>-29063.43</v>
      </c>
      <c r="R333" s="627"/>
      <c r="T333" s="631">
        <v>0</v>
      </c>
      <c r="U333" s="631"/>
      <c r="V333" s="631"/>
      <c r="Y333" s="631">
        <v>987.62</v>
      </c>
      <c r="Z333" s="631"/>
      <c r="AA333" s="631"/>
      <c r="AB333" s="631"/>
      <c r="AC333" s="631"/>
      <c r="AD333" s="631"/>
      <c r="AF333" s="627">
        <v>-30051.05</v>
      </c>
      <c r="AG333" s="627"/>
      <c r="AH333" s="627"/>
      <c r="AI333" s="627"/>
      <c r="AJ333" s="627"/>
      <c r="AK333" s="627"/>
      <c r="AL333" s="627"/>
    </row>
    <row r="334" spans="1:38" ht="11.1" customHeight="1" x14ac:dyDescent="0.25">
      <c r="A334" s="630" t="s">
        <v>3650</v>
      </c>
      <c r="B334" s="630"/>
      <c r="C334" s="630"/>
      <c r="K334" s="630" t="s">
        <v>626</v>
      </c>
      <c r="L334" s="630"/>
      <c r="M334" s="630"/>
      <c r="N334" s="630"/>
      <c r="O334" s="630"/>
      <c r="P334" s="630"/>
      <c r="Q334" s="627">
        <v>-108383.88</v>
      </c>
      <c r="R334" s="627"/>
      <c r="T334" s="631">
        <v>0</v>
      </c>
      <c r="U334" s="631"/>
      <c r="V334" s="631"/>
      <c r="Y334" s="631">
        <v>917.64</v>
      </c>
      <c r="Z334" s="631"/>
      <c r="AA334" s="631"/>
      <c r="AB334" s="631"/>
      <c r="AC334" s="631"/>
      <c r="AD334" s="631"/>
      <c r="AF334" s="627">
        <v>-109301.52</v>
      </c>
      <c r="AG334" s="627"/>
      <c r="AH334" s="627"/>
      <c r="AI334" s="627"/>
      <c r="AJ334" s="627"/>
      <c r="AK334" s="627"/>
      <c r="AL334" s="627"/>
    </row>
    <row r="335" spans="1:38" ht="11.1" customHeight="1" x14ac:dyDescent="0.25">
      <c r="A335" s="630" t="s">
        <v>3651</v>
      </c>
      <c r="B335" s="630"/>
      <c r="C335" s="630"/>
      <c r="L335" s="630" t="s">
        <v>586</v>
      </c>
      <c r="M335" s="630"/>
      <c r="N335" s="630"/>
      <c r="O335" s="630"/>
      <c r="P335" s="630"/>
      <c r="Q335" s="627">
        <v>-2076</v>
      </c>
      <c r="R335" s="627"/>
      <c r="T335" s="631">
        <v>0</v>
      </c>
      <c r="U335" s="631"/>
      <c r="V335" s="631"/>
      <c r="Y335" s="631">
        <v>0</v>
      </c>
      <c r="Z335" s="631"/>
      <c r="AA335" s="631"/>
      <c r="AB335" s="631"/>
      <c r="AC335" s="631"/>
      <c r="AD335" s="631"/>
      <c r="AF335" s="627">
        <v>-2076</v>
      </c>
      <c r="AG335" s="627"/>
      <c r="AH335" s="627"/>
      <c r="AI335" s="627"/>
      <c r="AJ335" s="627"/>
      <c r="AK335" s="627"/>
      <c r="AL335" s="627"/>
    </row>
    <row r="336" spans="1:38" ht="11.1" customHeight="1" x14ac:dyDescent="0.25">
      <c r="A336" s="630" t="s">
        <v>3652</v>
      </c>
      <c r="B336" s="630"/>
      <c r="C336" s="630"/>
      <c r="M336" s="630" t="s">
        <v>626</v>
      </c>
      <c r="N336" s="630"/>
      <c r="O336" s="630"/>
      <c r="P336" s="630"/>
      <c r="Q336" s="627">
        <v>-2076</v>
      </c>
      <c r="R336" s="627"/>
      <c r="T336" s="631">
        <v>0</v>
      </c>
      <c r="U336" s="631"/>
      <c r="V336" s="631"/>
      <c r="Y336" s="631">
        <v>0</v>
      </c>
      <c r="Z336" s="631"/>
      <c r="AA336" s="631"/>
      <c r="AB336" s="631"/>
      <c r="AC336" s="631"/>
      <c r="AD336" s="631"/>
      <c r="AF336" s="627">
        <v>-2076</v>
      </c>
      <c r="AG336" s="627"/>
      <c r="AH336" s="627"/>
      <c r="AI336" s="627"/>
      <c r="AJ336" s="627"/>
      <c r="AK336" s="627"/>
      <c r="AL336" s="627"/>
    </row>
    <row r="337" spans="1:38" ht="11.1" customHeight="1" x14ac:dyDescent="0.25">
      <c r="A337" s="630" t="s">
        <v>3653</v>
      </c>
      <c r="B337" s="630"/>
      <c r="C337" s="630"/>
      <c r="L337" s="630" t="s">
        <v>302</v>
      </c>
      <c r="M337" s="630"/>
      <c r="N337" s="630"/>
      <c r="O337" s="630"/>
      <c r="P337" s="630"/>
      <c r="Q337" s="627">
        <v>-106307.88</v>
      </c>
      <c r="R337" s="627"/>
      <c r="T337" s="631">
        <v>0</v>
      </c>
      <c r="U337" s="631"/>
      <c r="V337" s="631"/>
      <c r="Y337" s="631">
        <v>917.64</v>
      </c>
      <c r="Z337" s="631"/>
      <c r="AA337" s="631"/>
      <c r="AB337" s="631"/>
      <c r="AC337" s="631"/>
      <c r="AD337" s="631"/>
      <c r="AF337" s="627">
        <v>-107225.52</v>
      </c>
      <c r="AG337" s="627"/>
      <c r="AH337" s="627"/>
      <c r="AI337" s="627"/>
      <c r="AJ337" s="627"/>
      <c r="AK337" s="627"/>
      <c r="AL337" s="627"/>
    </row>
    <row r="338" spans="1:38" ht="11.1" customHeight="1" x14ac:dyDescent="0.25">
      <c r="A338" s="630" t="s">
        <v>3654</v>
      </c>
      <c r="B338" s="630"/>
      <c r="C338" s="630"/>
      <c r="M338" s="630" t="s">
        <v>626</v>
      </c>
      <c r="N338" s="630"/>
      <c r="O338" s="630"/>
      <c r="P338" s="630"/>
      <c r="Q338" s="627">
        <v>-106307.88</v>
      </c>
      <c r="R338" s="627"/>
      <c r="T338" s="631">
        <v>0</v>
      </c>
      <c r="U338" s="631"/>
      <c r="V338" s="631"/>
      <c r="Y338" s="631">
        <v>917.64</v>
      </c>
      <c r="Z338" s="631"/>
      <c r="AA338" s="631"/>
      <c r="AB338" s="631"/>
      <c r="AC338" s="631"/>
      <c r="AD338" s="631"/>
      <c r="AF338" s="627">
        <v>-107225.52</v>
      </c>
      <c r="AG338" s="627"/>
      <c r="AH338" s="627"/>
      <c r="AI338" s="627"/>
      <c r="AJ338" s="627"/>
      <c r="AK338" s="627"/>
      <c r="AL338" s="627"/>
    </row>
    <row r="339" spans="1:38" ht="11.1" customHeight="1" x14ac:dyDescent="0.25">
      <c r="A339" s="630" t="s">
        <v>3655</v>
      </c>
      <c r="B339" s="630"/>
      <c r="C339" s="630"/>
      <c r="K339" s="630" t="s">
        <v>632</v>
      </c>
      <c r="L339" s="630"/>
      <c r="M339" s="630"/>
      <c r="N339" s="630"/>
      <c r="O339" s="630"/>
      <c r="P339" s="630"/>
      <c r="Q339" s="627">
        <v>-73704</v>
      </c>
      <c r="R339" s="627"/>
      <c r="T339" s="631">
        <v>0</v>
      </c>
      <c r="U339" s="631"/>
      <c r="V339" s="631"/>
      <c r="Y339" s="631">
        <v>551.58000000000004</v>
      </c>
      <c r="Z339" s="631"/>
      <c r="AA339" s="631"/>
      <c r="AB339" s="631"/>
      <c r="AC339" s="631"/>
      <c r="AD339" s="631"/>
      <c r="AF339" s="627">
        <v>-74255.58</v>
      </c>
      <c r="AG339" s="627"/>
      <c r="AH339" s="627"/>
      <c r="AI339" s="627"/>
      <c r="AJ339" s="627"/>
      <c r="AK339" s="627"/>
      <c r="AL339" s="627"/>
    </row>
    <row r="340" spans="1:38" ht="11.1" customHeight="1" x14ac:dyDescent="0.25">
      <c r="A340" s="630" t="s">
        <v>3656</v>
      </c>
      <c r="B340" s="630"/>
      <c r="C340" s="630"/>
      <c r="L340" s="630" t="s">
        <v>586</v>
      </c>
      <c r="M340" s="630"/>
      <c r="N340" s="630"/>
      <c r="O340" s="630"/>
      <c r="P340" s="630"/>
      <c r="Q340" s="627">
        <v>-19606.05</v>
      </c>
      <c r="R340" s="627"/>
      <c r="T340" s="631">
        <v>0</v>
      </c>
      <c r="U340" s="631"/>
      <c r="V340" s="631"/>
      <c r="Y340" s="631">
        <v>91.91</v>
      </c>
      <c r="Z340" s="631"/>
      <c r="AA340" s="631"/>
      <c r="AB340" s="631"/>
      <c r="AC340" s="631"/>
      <c r="AD340" s="631"/>
      <c r="AF340" s="627">
        <v>-19697.96</v>
      </c>
      <c r="AG340" s="627"/>
      <c r="AH340" s="627"/>
      <c r="AI340" s="627"/>
      <c r="AJ340" s="627"/>
      <c r="AK340" s="627"/>
      <c r="AL340" s="627"/>
    </row>
    <row r="341" spans="1:38" ht="11.1" customHeight="1" x14ac:dyDescent="0.25">
      <c r="A341" s="630" t="s">
        <v>3657</v>
      </c>
      <c r="B341" s="630"/>
      <c r="C341" s="630"/>
      <c r="M341" s="630" t="s">
        <v>632</v>
      </c>
      <c r="N341" s="630"/>
      <c r="O341" s="630"/>
      <c r="P341" s="630"/>
      <c r="Q341" s="627">
        <v>-19606.05</v>
      </c>
      <c r="R341" s="627"/>
      <c r="T341" s="631">
        <v>0</v>
      </c>
      <c r="U341" s="631"/>
      <c r="V341" s="631"/>
      <c r="Y341" s="631">
        <v>91.91</v>
      </c>
      <c r="Z341" s="631"/>
      <c r="AA341" s="631"/>
      <c r="AB341" s="631"/>
      <c r="AC341" s="631"/>
      <c r="AD341" s="631"/>
      <c r="AF341" s="627">
        <v>-19697.96</v>
      </c>
      <c r="AG341" s="627"/>
      <c r="AH341" s="627"/>
      <c r="AI341" s="627"/>
      <c r="AJ341" s="627"/>
      <c r="AK341" s="627"/>
      <c r="AL341" s="627"/>
    </row>
    <row r="342" spans="1:38" ht="11.1" customHeight="1" x14ac:dyDescent="0.25">
      <c r="A342" s="630" t="s">
        <v>3658</v>
      </c>
      <c r="B342" s="630"/>
      <c r="C342" s="630"/>
      <c r="L342" s="630" t="s">
        <v>302</v>
      </c>
      <c r="M342" s="630"/>
      <c r="N342" s="630"/>
      <c r="O342" s="630"/>
      <c r="P342" s="630"/>
      <c r="Q342" s="627">
        <v>-38462.550000000003</v>
      </c>
      <c r="R342" s="627"/>
      <c r="T342" s="631">
        <v>0</v>
      </c>
      <c r="U342" s="631"/>
      <c r="V342" s="631"/>
      <c r="Y342" s="631">
        <v>272.26</v>
      </c>
      <c r="Z342" s="631"/>
      <c r="AA342" s="631"/>
      <c r="AB342" s="631"/>
      <c r="AC342" s="631"/>
      <c r="AD342" s="631"/>
      <c r="AF342" s="627">
        <v>-38734.81</v>
      </c>
      <c r="AG342" s="627"/>
      <c r="AH342" s="627"/>
      <c r="AI342" s="627"/>
      <c r="AJ342" s="627"/>
      <c r="AK342" s="627"/>
      <c r="AL342" s="627"/>
    </row>
    <row r="343" spans="1:38" ht="11.1" customHeight="1" x14ac:dyDescent="0.25">
      <c r="A343" s="630" t="s">
        <v>3659</v>
      </c>
      <c r="B343" s="630"/>
      <c r="C343" s="630"/>
      <c r="M343" s="630" t="s">
        <v>632</v>
      </c>
      <c r="N343" s="630"/>
      <c r="O343" s="630"/>
      <c r="P343" s="630"/>
      <c r="Q343" s="627">
        <v>-38462.550000000003</v>
      </c>
      <c r="R343" s="627"/>
      <c r="T343" s="631">
        <v>0</v>
      </c>
      <c r="U343" s="631"/>
      <c r="V343" s="631"/>
      <c r="Y343" s="631">
        <v>272.26</v>
      </c>
      <c r="Z343" s="631"/>
      <c r="AA343" s="631"/>
      <c r="AB343" s="631"/>
      <c r="AC343" s="631"/>
      <c r="AD343" s="631"/>
      <c r="AF343" s="627">
        <v>-38734.81</v>
      </c>
      <c r="AG343" s="627"/>
      <c r="AH343" s="627"/>
      <c r="AI343" s="627"/>
      <c r="AJ343" s="627"/>
      <c r="AK343" s="627"/>
      <c r="AL343" s="627"/>
    </row>
    <row r="344" spans="1:38" ht="11.1" customHeight="1" x14ac:dyDescent="0.25">
      <c r="A344" s="630" t="s">
        <v>3660</v>
      </c>
      <c r="B344" s="630"/>
      <c r="C344" s="630"/>
      <c r="L344" s="630" t="s">
        <v>591</v>
      </c>
      <c r="M344" s="630"/>
      <c r="N344" s="630"/>
      <c r="O344" s="630"/>
      <c r="P344" s="630"/>
      <c r="Q344" s="627">
        <v>-15635.4</v>
      </c>
      <c r="R344" s="627"/>
      <c r="T344" s="631">
        <v>0</v>
      </c>
      <c r="U344" s="631"/>
      <c r="V344" s="631"/>
      <c r="Y344" s="631">
        <v>187.41</v>
      </c>
      <c r="Z344" s="631"/>
      <c r="AA344" s="631"/>
      <c r="AB344" s="631"/>
      <c r="AC344" s="631"/>
      <c r="AD344" s="631"/>
      <c r="AF344" s="627">
        <v>-15822.81</v>
      </c>
      <c r="AG344" s="627"/>
      <c r="AH344" s="627"/>
      <c r="AI344" s="627"/>
      <c r="AJ344" s="627"/>
      <c r="AK344" s="627"/>
      <c r="AL344" s="627"/>
    </row>
    <row r="345" spans="1:38" ht="11.1" customHeight="1" x14ac:dyDescent="0.25">
      <c r="A345" s="630" t="s">
        <v>3661</v>
      </c>
      <c r="B345" s="630"/>
      <c r="C345" s="630"/>
      <c r="M345" s="630" t="s">
        <v>632</v>
      </c>
      <c r="N345" s="630"/>
      <c r="O345" s="630"/>
      <c r="P345" s="630"/>
      <c r="Q345" s="627">
        <v>-13383.84</v>
      </c>
      <c r="R345" s="627"/>
      <c r="T345" s="631">
        <v>0</v>
      </c>
      <c r="U345" s="631"/>
      <c r="V345" s="631"/>
      <c r="Y345" s="631">
        <v>105.63</v>
      </c>
      <c r="Z345" s="631"/>
      <c r="AA345" s="631"/>
      <c r="AB345" s="631"/>
      <c r="AC345" s="631"/>
      <c r="AD345" s="631"/>
      <c r="AF345" s="627">
        <v>-13489.47</v>
      </c>
      <c r="AG345" s="627"/>
      <c r="AH345" s="627"/>
      <c r="AI345" s="627"/>
      <c r="AJ345" s="627"/>
      <c r="AK345" s="627"/>
      <c r="AL345" s="627"/>
    </row>
    <row r="346" spans="1:38" ht="11.1" customHeight="1" x14ac:dyDescent="0.25">
      <c r="A346" s="630" t="s">
        <v>3662</v>
      </c>
      <c r="B346" s="630"/>
      <c r="C346" s="630"/>
      <c r="M346" s="630" t="s">
        <v>640</v>
      </c>
      <c r="N346" s="630"/>
      <c r="O346" s="630"/>
      <c r="P346" s="630"/>
      <c r="Q346" s="627">
        <v>-2251.56</v>
      </c>
      <c r="R346" s="627"/>
      <c r="T346" s="631">
        <v>0</v>
      </c>
      <c r="U346" s="631"/>
      <c r="V346" s="631"/>
      <c r="Y346" s="631">
        <v>81.78</v>
      </c>
      <c r="Z346" s="631"/>
      <c r="AA346" s="631"/>
      <c r="AB346" s="631"/>
      <c r="AC346" s="631"/>
      <c r="AD346" s="631"/>
      <c r="AF346" s="627">
        <v>-2333.34</v>
      </c>
      <c r="AG346" s="627"/>
      <c r="AH346" s="627"/>
      <c r="AI346" s="627"/>
      <c r="AJ346" s="627"/>
      <c r="AK346" s="627"/>
      <c r="AL346" s="627"/>
    </row>
    <row r="347" spans="1:38" ht="11.1" customHeight="1" x14ac:dyDescent="0.25">
      <c r="A347" s="632" t="s">
        <v>3663</v>
      </c>
      <c r="B347" s="632"/>
      <c r="C347" s="632"/>
      <c r="J347" s="632" t="s">
        <v>682</v>
      </c>
      <c r="K347" s="632"/>
      <c r="L347" s="632"/>
      <c r="M347" s="632"/>
      <c r="N347" s="632"/>
      <c r="O347" s="632"/>
      <c r="P347" s="632"/>
      <c r="Q347" s="633">
        <v>5082319.3099999996</v>
      </c>
      <c r="R347" s="633"/>
      <c r="T347" s="634">
        <v>202456.27</v>
      </c>
      <c r="U347" s="634"/>
      <c r="V347" s="634"/>
      <c r="Y347" s="634">
        <v>484.52</v>
      </c>
      <c r="Z347" s="634"/>
      <c r="AA347" s="634"/>
      <c r="AB347" s="634"/>
      <c r="AC347" s="634"/>
      <c r="AD347" s="634"/>
      <c r="AF347" s="633">
        <v>5284291.0599999996</v>
      </c>
      <c r="AG347" s="633"/>
      <c r="AH347" s="633"/>
      <c r="AI347" s="633"/>
      <c r="AJ347" s="633"/>
      <c r="AK347" s="633"/>
      <c r="AL347" s="633"/>
    </row>
    <row r="348" spans="1:38" ht="11.1" customHeight="1" x14ac:dyDescent="0.25">
      <c r="A348" s="630" t="s">
        <v>3664</v>
      </c>
      <c r="B348" s="630"/>
      <c r="C348" s="630"/>
      <c r="K348" s="630" t="s">
        <v>565</v>
      </c>
      <c r="L348" s="630"/>
      <c r="M348" s="630"/>
      <c r="N348" s="630"/>
      <c r="O348" s="630"/>
      <c r="P348" s="630"/>
      <c r="Q348" s="627">
        <v>244457.54</v>
      </c>
      <c r="R348" s="627"/>
      <c r="T348" s="631">
        <v>0</v>
      </c>
      <c r="U348" s="631"/>
      <c r="V348" s="631"/>
      <c r="Y348" s="631">
        <v>0</v>
      </c>
      <c r="Z348" s="631"/>
      <c r="AA348" s="631"/>
      <c r="AB348" s="631"/>
      <c r="AC348" s="631"/>
      <c r="AD348" s="631"/>
      <c r="AF348" s="627">
        <v>244457.54</v>
      </c>
      <c r="AG348" s="627"/>
      <c r="AH348" s="627"/>
      <c r="AI348" s="627"/>
      <c r="AJ348" s="627"/>
      <c r="AK348" s="627"/>
      <c r="AL348" s="627"/>
    </row>
    <row r="349" spans="1:38" ht="11.1" customHeight="1" x14ac:dyDescent="0.25">
      <c r="A349" s="630" t="s">
        <v>3665</v>
      </c>
      <c r="B349" s="630"/>
      <c r="C349" s="630"/>
      <c r="L349" s="630" t="s">
        <v>586</v>
      </c>
      <c r="M349" s="630"/>
      <c r="N349" s="630"/>
      <c r="O349" s="630"/>
      <c r="P349" s="630"/>
      <c r="Q349" s="627">
        <v>244457.54</v>
      </c>
      <c r="R349" s="627"/>
      <c r="T349" s="631">
        <v>0</v>
      </c>
      <c r="U349" s="631"/>
      <c r="V349" s="631"/>
      <c r="Y349" s="631">
        <v>0</v>
      </c>
      <c r="Z349" s="631"/>
      <c r="AA349" s="631"/>
      <c r="AB349" s="631"/>
      <c r="AC349" s="631"/>
      <c r="AD349" s="631"/>
      <c r="AF349" s="627">
        <v>244457.54</v>
      </c>
      <c r="AG349" s="627"/>
      <c r="AH349" s="627"/>
      <c r="AI349" s="627"/>
      <c r="AJ349" s="627"/>
      <c r="AK349" s="627"/>
      <c r="AL349" s="627"/>
    </row>
    <row r="350" spans="1:38" ht="11.1" customHeight="1" x14ac:dyDescent="0.25">
      <c r="A350" s="630" t="s">
        <v>3666</v>
      </c>
      <c r="B350" s="630"/>
      <c r="C350" s="630"/>
      <c r="M350" s="630" t="s">
        <v>565</v>
      </c>
      <c r="N350" s="630"/>
      <c r="O350" s="630"/>
      <c r="P350" s="630"/>
      <c r="Q350" s="627">
        <v>637907.54</v>
      </c>
      <c r="R350" s="627"/>
      <c r="T350" s="631">
        <v>0</v>
      </c>
      <c r="U350" s="631"/>
      <c r="V350" s="631"/>
      <c r="Y350" s="631">
        <v>0</v>
      </c>
      <c r="Z350" s="631"/>
      <c r="AA350" s="631"/>
      <c r="AB350" s="631"/>
      <c r="AC350" s="631"/>
      <c r="AD350" s="631"/>
      <c r="AF350" s="627">
        <v>637907.54</v>
      </c>
      <c r="AG350" s="627"/>
      <c r="AH350" s="627"/>
      <c r="AI350" s="627"/>
      <c r="AJ350" s="627"/>
      <c r="AK350" s="627"/>
      <c r="AL350" s="627"/>
    </row>
    <row r="351" spans="1:38" ht="11.1" customHeight="1" x14ac:dyDescent="0.25">
      <c r="A351" s="630" t="s">
        <v>3667</v>
      </c>
      <c r="B351" s="630"/>
      <c r="C351" s="630"/>
      <c r="M351" s="630" t="s">
        <v>3668</v>
      </c>
      <c r="N351" s="630"/>
      <c r="O351" s="630"/>
      <c r="P351" s="630"/>
      <c r="Q351" s="627">
        <v>-393450</v>
      </c>
      <c r="R351" s="627"/>
      <c r="T351" s="631">
        <v>0</v>
      </c>
      <c r="U351" s="631"/>
      <c r="V351" s="631"/>
      <c r="Y351" s="631">
        <v>0</v>
      </c>
      <c r="Z351" s="631"/>
      <c r="AA351" s="631"/>
      <c r="AB351" s="631"/>
      <c r="AC351" s="631"/>
      <c r="AD351" s="631"/>
      <c r="AF351" s="627">
        <v>-393450</v>
      </c>
      <c r="AG351" s="627"/>
      <c r="AH351" s="627"/>
      <c r="AI351" s="627"/>
      <c r="AJ351" s="627"/>
      <c r="AK351" s="627"/>
      <c r="AL351" s="627"/>
    </row>
    <row r="352" spans="1:38" ht="11.1" customHeight="1" x14ac:dyDescent="0.25">
      <c r="A352" s="630" t="s">
        <v>3669</v>
      </c>
      <c r="B352" s="630"/>
      <c r="C352" s="630"/>
      <c r="K352" s="630" t="s">
        <v>616</v>
      </c>
      <c r="L352" s="630"/>
      <c r="M352" s="630"/>
      <c r="N352" s="630"/>
      <c r="O352" s="630"/>
      <c r="P352" s="630"/>
      <c r="Q352" s="627">
        <v>444357.68</v>
      </c>
      <c r="R352" s="627"/>
      <c r="T352" s="631">
        <v>2537.2399999999998</v>
      </c>
      <c r="U352" s="631"/>
      <c r="V352" s="631"/>
      <c r="Y352" s="631">
        <v>0</v>
      </c>
      <c r="Z352" s="631"/>
      <c r="AA352" s="631"/>
      <c r="AB352" s="631"/>
      <c r="AC352" s="631"/>
      <c r="AD352" s="631"/>
      <c r="AF352" s="627">
        <v>446894.92</v>
      </c>
      <c r="AG352" s="627"/>
      <c r="AH352" s="627"/>
      <c r="AI352" s="627"/>
      <c r="AJ352" s="627"/>
      <c r="AK352" s="627"/>
      <c r="AL352" s="627"/>
    </row>
    <row r="353" spans="1:38" ht="11.1" customHeight="1" x14ac:dyDescent="0.25">
      <c r="A353" s="630" t="s">
        <v>3670</v>
      </c>
      <c r="B353" s="630"/>
      <c r="C353" s="630"/>
      <c r="L353" s="630" t="s">
        <v>586</v>
      </c>
      <c r="M353" s="630"/>
      <c r="N353" s="630"/>
      <c r="O353" s="630"/>
      <c r="P353" s="630"/>
      <c r="Q353" s="627">
        <v>340994.65</v>
      </c>
      <c r="R353" s="627"/>
      <c r="T353" s="631">
        <v>1537.24</v>
      </c>
      <c r="U353" s="631"/>
      <c r="V353" s="631"/>
      <c r="Y353" s="631">
        <v>0</v>
      </c>
      <c r="Z353" s="631"/>
      <c r="AA353" s="631"/>
      <c r="AB353" s="631"/>
      <c r="AC353" s="631"/>
      <c r="AD353" s="631"/>
      <c r="AF353" s="627">
        <v>342531.89</v>
      </c>
      <c r="AG353" s="627"/>
      <c r="AH353" s="627"/>
      <c r="AI353" s="627"/>
      <c r="AJ353" s="627"/>
      <c r="AK353" s="627"/>
      <c r="AL353" s="627"/>
    </row>
    <row r="354" spans="1:38" ht="11.1" customHeight="1" x14ac:dyDescent="0.25">
      <c r="A354" s="630" t="s">
        <v>3671</v>
      </c>
      <c r="B354" s="630"/>
      <c r="C354" s="630"/>
      <c r="M354" s="630" t="s">
        <v>616</v>
      </c>
      <c r="N354" s="630"/>
      <c r="O354" s="630"/>
      <c r="P354" s="630"/>
      <c r="Q354" s="627">
        <v>1292243.3799999999</v>
      </c>
      <c r="R354" s="627"/>
      <c r="T354" s="631">
        <v>1537.24</v>
      </c>
      <c r="U354" s="631"/>
      <c r="V354" s="631"/>
      <c r="Y354" s="631">
        <v>0</v>
      </c>
      <c r="Z354" s="631"/>
      <c r="AA354" s="631"/>
      <c r="AB354" s="631"/>
      <c r="AC354" s="631"/>
      <c r="AD354" s="631"/>
      <c r="AF354" s="627">
        <v>1293780.6200000001</v>
      </c>
      <c r="AG354" s="627"/>
      <c r="AH354" s="627"/>
      <c r="AI354" s="627"/>
      <c r="AJ354" s="627"/>
      <c r="AK354" s="627"/>
      <c r="AL354" s="627"/>
    </row>
    <row r="355" spans="1:38" ht="11.1" customHeight="1" x14ac:dyDescent="0.25">
      <c r="A355" s="630" t="s">
        <v>3672</v>
      </c>
      <c r="B355" s="630"/>
      <c r="C355" s="630"/>
      <c r="M355" s="630" t="s">
        <v>692</v>
      </c>
      <c r="N355" s="630"/>
      <c r="O355" s="630"/>
      <c r="P355" s="630"/>
      <c r="Q355" s="627">
        <v>26694.32</v>
      </c>
      <c r="R355" s="627"/>
      <c r="T355" s="631">
        <v>0</v>
      </c>
      <c r="U355" s="631"/>
      <c r="V355" s="631"/>
      <c r="Y355" s="631">
        <v>0</v>
      </c>
      <c r="Z355" s="631"/>
      <c r="AA355" s="631"/>
      <c r="AB355" s="631"/>
      <c r="AC355" s="631"/>
      <c r="AD355" s="631"/>
      <c r="AF355" s="627">
        <v>26694.32</v>
      </c>
      <c r="AG355" s="627"/>
      <c r="AH355" s="627"/>
      <c r="AI355" s="627"/>
      <c r="AJ355" s="627"/>
      <c r="AK355" s="627"/>
      <c r="AL355" s="627"/>
    </row>
    <row r="356" spans="1:38" ht="11.1" customHeight="1" x14ac:dyDescent="0.25">
      <c r="A356" s="630" t="s">
        <v>3673</v>
      </c>
      <c r="B356" s="630"/>
      <c r="C356" s="630"/>
      <c r="M356" s="630" t="s">
        <v>3674</v>
      </c>
      <c r="N356" s="630"/>
      <c r="O356" s="630"/>
      <c r="P356" s="630"/>
      <c r="Q356" s="627">
        <v>-951248.73</v>
      </c>
      <c r="R356" s="627"/>
      <c r="T356" s="631">
        <v>0</v>
      </c>
      <c r="U356" s="631"/>
      <c r="V356" s="631"/>
      <c r="Y356" s="631">
        <v>0</v>
      </c>
      <c r="Z356" s="631"/>
      <c r="AA356" s="631"/>
      <c r="AB356" s="631"/>
      <c r="AC356" s="631"/>
      <c r="AD356" s="631"/>
      <c r="AF356" s="627">
        <v>-951248.73</v>
      </c>
      <c r="AG356" s="627"/>
      <c r="AH356" s="627"/>
      <c r="AI356" s="627"/>
      <c r="AJ356" s="627"/>
      <c r="AK356" s="627"/>
      <c r="AL356" s="627"/>
    </row>
    <row r="357" spans="1:38" ht="11.1" customHeight="1" x14ac:dyDescent="0.25">
      <c r="A357" s="630" t="s">
        <v>3675</v>
      </c>
      <c r="B357" s="630"/>
      <c r="C357" s="630"/>
      <c r="M357" s="630" t="s">
        <v>696</v>
      </c>
      <c r="N357" s="630"/>
      <c r="O357" s="630"/>
      <c r="P357" s="630"/>
      <c r="Q357" s="627">
        <v>-26694.32</v>
      </c>
      <c r="R357" s="627"/>
      <c r="T357" s="631">
        <v>0</v>
      </c>
      <c r="U357" s="631"/>
      <c r="V357" s="631"/>
      <c r="Y357" s="631">
        <v>0</v>
      </c>
      <c r="Z357" s="631"/>
      <c r="AA357" s="631"/>
      <c r="AB357" s="631"/>
      <c r="AC357" s="631"/>
      <c r="AD357" s="631"/>
      <c r="AF357" s="627">
        <v>-26694.32</v>
      </c>
      <c r="AG357" s="627"/>
      <c r="AH357" s="627"/>
      <c r="AI357" s="627"/>
      <c r="AJ357" s="627"/>
      <c r="AK357" s="627"/>
      <c r="AL357" s="627"/>
    </row>
    <row r="358" spans="1:38" ht="11.1" customHeight="1" x14ac:dyDescent="0.25">
      <c r="A358" s="630" t="s">
        <v>3676</v>
      </c>
      <c r="B358" s="630"/>
      <c r="C358" s="630"/>
      <c r="L358" s="630" t="s">
        <v>591</v>
      </c>
      <c r="M358" s="630"/>
      <c r="N358" s="630"/>
      <c r="O358" s="630"/>
      <c r="P358" s="630"/>
      <c r="Q358" s="627">
        <v>103363.03</v>
      </c>
      <c r="R358" s="627"/>
      <c r="T358" s="631">
        <v>1000</v>
      </c>
      <c r="U358" s="631"/>
      <c r="V358" s="631"/>
      <c r="Y358" s="631">
        <v>0</v>
      </c>
      <c r="Z358" s="631"/>
      <c r="AA358" s="631"/>
      <c r="AB358" s="631"/>
      <c r="AC358" s="631"/>
      <c r="AD358" s="631"/>
      <c r="AF358" s="627">
        <v>104363.03</v>
      </c>
      <c r="AG358" s="627"/>
      <c r="AH358" s="627"/>
      <c r="AI358" s="627"/>
      <c r="AJ358" s="627"/>
      <c r="AK358" s="627"/>
      <c r="AL358" s="627"/>
    </row>
    <row r="359" spans="1:38" ht="11.1" customHeight="1" x14ac:dyDescent="0.25">
      <c r="A359" s="630" t="s">
        <v>3677</v>
      </c>
      <c r="B359" s="630"/>
      <c r="C359" s="630"/>
      <c r="M359" s="630" t="s">
        <v>616</v>
      </c>
      <c r="N359" s="630"/>
      <c r="O359" s="630"/>
      <c r="P359" s="630"/>
      <c r="Q359" s="627">
        <v>705433.75</v>
      </c>
      <c r="R359" s="627"/>
      <c r="T359" s="631">
        <v>1000</v>
      </c>
      <c r="U359" s="631"/>
      <c r="V359" s="631"/>
      <c r="Y359" s="631">
        <v>0</v>
      </c>
      <c r="Z359" s="631"/>
      <c r="AA359" s="631"/>
      <c r="AB359" s="631"/>
      <c r="AC359" s="631"/>
      <c r="AD359" s="631"/>
      <c r="AF359" s="627">
        <v>706433.75</v>
      </c>
      <c r="AG359" s="627"/>
      <c r="AH359" s="627"/>
      <c r="AI359" s="627"/>
      <c r="AJ359" s="627"/>
      <c r="AK359" s="627"/>
      <c r="AL359" s="627"/>
    </row>
    <row r="360" spans="1:38" ht="11.1" customHeight="1" x14ac:dyDescent="0.25">
      <c r="A360" s="630" t="s">
        <v>3678</v>
      </c>
      <c r="B360" s="630"/>
      <c r="C360" s="630"/>
      <c r="M360" s="630" t="s">
        <v>3674</v>
      </c>
      <c r="N360" s="630"/>
      <c r="O360" s="630"/>
      <c r="P360" s="630"/>
      <c r="Q360" s="627">
        <v>-602070.72</v>
      </c>
      <c r="R360" s="627"/>
      <c r="T360" s="631">
        <v>0</v>
      </c>
      <c r="U360" s="631"/>
      <c r="V360" s="631"/>
      <c r="Y360" s="631">
        <v>0</v>
      </c>
      <c r="Z360" s="631"/>
      <c r="AA360" s="631"/>
      <c r="AB360" s="631"/>
      <c r="AC360" s="631"/>
      <c r="AD360" s="631"/>
      <c r="AF360" s="627">
        <v>-602070.72</v>
      </c>
      <c r="AG360" s="627"/>
      <c r="AH360" s="627"/>
      <c r="AI360" s="627"/>
      <c r="AJ360" s="627"/>
      <c r="AK360" s="627"/>
      <c r="AL360" s="627"/>
    </row>
    <row r="361" spans="1:38" ht="11.1" customHeight="1" x14ac:dyDescent="0.25">
      <c r="A361" s="630" t="s">
        <v>3679</v>
      </c>
      <c r="B361" s="630"/>
      <c r="C361" s="630"/>
      <c r="K361" s="630" t="s">
        <v>632</v>
      </c>
      <c r="L361" s="630"/>
      <c r="M361" s="630"/>
      <c r="N361" s="630"/>
      <c r="O361" s="630"/>
      <c r="P361" s="630"/>
      <c r="Q361" s="627">
        <v>0</v>
      </c>
      <c r="R361" s="627"/>
      <c r="T361" s="631">
        <v>0</v>
      </c>
      <c r="U361" s="631"/>
      <c r="V361" s="631"/>
      <c r="Y361" s="631">
        <v>0</v>
      </c>
      <c r="Z361" s="631"/>
      <c r="AA361" s="631"/>
      <c r="AB361" s="631"/>
      <c r="AC361" s="631"/>
      <c r="AD361" s="631"/>
      <c r="AF361" s="627">
        <v>0</v>
      </c>
      <c r="AG361" s="627"/>
      <c r="AH361" s="627"/>
      <c r="AI361" s="627"/>
      <c r="AJ361" s="627"/>
      <c r="AK361" s="627"/>
      <c r="AL361" s="627"/>
    </row>
    <row r="362" spans="1:38" ht="11.1" customHeight="1" x14ac:dyDescent="0.25">
      <c r="A362" s="630" t="s">
        <v>3680</v>
      </c>
      <c r="B362" s="630"/>
      <c r="C362" s="630"/>
      <c r="L362" s="630" t="s">
        <v>586</v>
      </c>
      <c r="M362" s="630"/>
      <c r="N362" s="630"/>
      <c r="O362" s="630"/>
      <c r="P362" s="630"/>
      <c r="Q362" s="627">
        <v>0</v>
      </c>
      <c r="R362" s="627"/>
      <c r="T362" s="631">
        <v>0</v>
      </c>
      <c r="U362" s="631"/>
      <c r="V362" s="631"/>
      <c r="Y362" s="631">
        <v>0</v>
      </c>
      <c r="Z362" s="631"/>
      <c r="AA362" s="631"/>
      <c r="AB362" s="631"/>
      <c r="AC362" s="631"/>
      <c r="AD362" s="631"/>
      <c r="AF362" s="627">
        <v>0</v>
      </c>
      <c r="AG362" s="627"/>
      <c r="AH362" s="627"/>
      <c r="AI362" s="627"/>
      <c r="AJ362" s="627"/>
      <c r="AK362" s="627"/>
      <c r="AL362" s="627"/>
    </row>
    <row r="363" spans="1:38" ht="11.1" customHeight="1" x14ac:dyDescent="0.25">
      <c r="A363" s="630" t="s">
        <v>3681</v>
      </c>
      <c r="B363" s="630"/>
      <c r="C363" s="630"/>
      <c r="M363" s="630" t="s">
        <v>632</v>
      </c>
      <c r="N363" s="630"/>
      <c r="O363" s="630"/>
      <c r="P363" s="630"/>
      <c r="Q363" s="627">
        <v>530</v>
      </c>
      <c r="R363" s="627"/>
      <c r="T363" s="631">
        <v>0</v>
      </c>
      <c r="U363" s="631"/>
      <c r="V363" s="631"/>
      <c r="Y363" s="631">
        <v>0</v>
      </c>
      <c r="Z363" s="631"/>
      <c r="AA363" s="631"/>
      <c r="AB363" s="631"/>
      <c r="AC363" s="631"/>
      <c r="AD363" s="631"/>
      <c r="AF363" s="627">
        <v>530</v>
      </c>
      <c r="AG363" s="627"/>
      <c r="AH363" s="627"/>
      <c r="AI363" s="627"/>
      <c r="AJ363" s="627"/>
      <c r="AK363" s="627"/>
      <c r="AL363" s="627"/>
    </row>
    <row r="364" spans="1:38" ht="11.1" customHeight="1" x14ac:dyDescent="0.25">
      <c r="A364" s="630" t="s">
        <v>3682</v>
      </c>
      <c r="B364" s="630"/>
      <c r="C364" s="630"/>
      <c r="M364" s="630" t="s">
        <v>3683</v>
      </c>
      <c r="N364" s="630"/>
      <c r="O364" s="630"/>
      <c r="P364" s="630"/>
      <c r="Q364" s="627">
        <v>-530</v>
      </c>
      <c r="R364" s="627"/>
      <c r="T364" s="631">
        <v>0</v>
      </c>
      <c r="U364" s="631"/>
      <c r="V364" s="631"/>
      <c r="Y364" s="631">
        <v>0</v>
      </c>
      <c r="Z364" s="631"/>
      <c r="AA364" s="631"/>
      <c r="AB364" s="631"/>
      <c r="AC364" s="631"/>
      <c r="AD364" s="631"/>
      <c r="AF364" s="627">
        <v>-530</v>
      </c>
      <c r="AG364" s="627"/>
      <c r="AH364" s="627"/>
      <c r="AI364" s="627"/>
      <c r="AJ364" s="627"/>
      <c r="AK364" s="627"/>
      <c r="AL364" s="627"/>
    </row>
    <row r="365" spans="1:38" ht="11.1" customHeight="1" x14ac:dyDescent="0.25">
      <c r="A365" s="630" t="s">
        <v>3684</v>
      </c>
      <c r="B365" s="630"/>
      <c r="C365" s="630"/>
      <c r="L365" s="630" t="s">
        <v>706</v>
      </c>
      <c r="M365" s="630"/>
      <c r="N365" s="630"/>
      <c r="O365" s="630"/>
      <c r="P365" s="630"/>
      <c r="Q365" s="627">
        <v>0</v>
      </c>
      <c r="R365" s="627"/>
      <c r="T365" s="631">
        <v>0</v>
      </c>
      <c r="U365" s="631"/>
      <c r="V365" s="631"/>
      <c r="Y365" s="631">
        <v>0</v>
      </c>
      <c r="Z365" s="631"/>
      <c r="AA365" s="631"/>
      <c r="AB365" s="631"/>
      <c r="AC365" s="631"/>
      <c r="AD365" s="631"/>
      <c r="AF365" s="627">
        <v>0</v>
      </c>
      <c r="AG365" s="627"/>
      <c r="AH365" s="627"/>
      <c r="AI365" s="627"/>
      <c r="AJ365" s="627"/>
      <c r="AK365" s="627"/>
      <c r="AL365" s="627"/>
    </row>
    <row r="366" spans="1:38" ht="11.1" customHeight="1" x14ac:dyDescent="0.25">
      <c r="A366" s="630" t="s">
        <v>3685</v>
      </c>
      <c r="B366" s="630"/>
      <c r="C366" s="630"/>
      <c r="M366" s="630" t="s">
        <v>632</v>
      </c>
      <c r="N366" s="630"/>
      <c r="O366" s="630"/>
      <c r="P366" s="630"/>
      <c r="Q366" s="627">
        <v>15700.98</v>
      </c>
      <c r="R366" s="627"/>
      <c r="T366" s="631">
        <v>0</v>
      </c>
      <c r="U366" s="631"/>
      <c r="V366" s="631"/>
      <c r="Y366" s="631">
        <v>0</v>
      </c>
      <c r="Z366" s="631"/>
      <c r="AA366" s="631"/>
      <c r="AB366" s="631"/>
      <c r="AC366" s="631"/>
      <c r="AD366" s="631"/>
      <c r="AF366" s="627">
        <v>15700.98</v>
      </c>
      <c r="AG366" s="627"/>
      <c r="AH366" s="627"/>
      <c r="AI366" s="627"/>
      <c r="AJ366" s="627"/>
      <c r="AK366" s="627"/>
      <c r="AL366" s="627"/>
    </row>
    <row r="367" spans="1:38" ht="11.1" customHeight="1" x14ac:dyDescent="0.25">
      <c r="A367" s="630" t="s">
        <v>3686</v>
      </c>
      <c r="B367" s="630"/>
      <c r="C367" s="630"/>
      <c r="M367" s="630" t="s">
        <v>709</v>
      </c>
      <c r="N367" s="630"/>
      <c r="O367" s="630"/>
      <c r="P367" s="630"/>
      <c r="Q367" s="627">
        <v>-15700.98</v>
      </c>
      <c r="R367" s="627"/>
      <c r="T367" s="631">
        <v>0</v>
      </c>
      <c r="U367" s="631"/>
      <c r="V367" s="631"/>
      <c r="Y367" s="631">
        <v>0</v>
      </c>
      <c r="Z367" s="631"/>
      <c r="AA367" s="631"/>
      <c r="AB367" s="631"/>
      <c r="AC367" s="631"/>
      <c r="AD367" s="631"/>
      <c r="AF367" s="627">
        <v>-15700.98</v>
      </c>
      <c r="AG367" s="627"/>
      <c r="AH367" s="627"/>
      <c r="AI367" s="627"/>
      <c r="AJ367" s="627"/>
      <c r="AK367" s="627"/>
      <c r="AL367" s="627"/>
    </row>
    <row r="368" spans="1:38" ht="11.1" customHeight="1" x14ac:dyDescent="0.25">
      <c r="A368" s="630" t="s">
        <v>3687</v>
      </c>
      <c r="B368" s="630"/>
      <c r="C368" s="630"/>
      <c r="K368" s="630" t="s">
        <v>2212</v>
      </c>
      <c r="L368" s="630"/>
      <c r="M368" s="630"/>
      <c r="N368" s="630"/>
      <c r="O368" s="630"/>
      <c r="P368" s="630"/>
      <c r="Q368" s="627">
        <v>596057.9</v>
      </c>
      <c r="R368" s="627"/>
      <c r="T368" s="631">
        <v>199650.41</v>
      </c>
      <c r="U368" s="631"/>
      <c r="V368" s="631"/>
      <c r="Y368" s="631">
        <v>0</v>
      </c>
      <c r="Z368" s="631"/>
      <c r="AA368" s="631"/>
      <c r="AB368" s="631"/>
      <c r="AC368" s="631"/>
      <c r="AD368" s="631"/>
      <c r="AF368" s="627">
        <v>795708.31</v>
      </c>
      <c r="AG368" s="627"/>
      <c r="AH368" s="627"/>
      <c r="AI368" s="627"/>
      <c r="AJ368" s="627"/>
      <c r="AK368" s="627"/>
      <c r="AL368" s="627"/>
    </row>
    <row r="369" spans="1:38" ht="11.1" customHeight="1" x14ac:dyDescent="0.25">
      <c r="A369" s="630" t="s">
        <v>3688</v>
      </c>
      <c r="B369" s="630"/>
      <c r="C369" s="630"/>
      <c r="L369" s="630" t="s">
        <v>302</v>
      </c>
      <c r="M369" s="630"/>
      <c r="N369" s="630"/>
      <c r="O369" s="630"/>
      <c r="P369" s="630"/>
      <c r="Q369" s="627">
        <v>596057.9</v>
      </c>
      <c r="R369" s="627"/>
      <c r="T369" s="631">
        <v>199650.41</v>
      </c>
      <c r="U369" s="631"/>
      <c r="V369" s="631"/>
      <c r="Y369" s="631">
        <v>0</v>
      </c>
      <c r="Z369" s="631"/>
      <c r="AA369" s="631"/>
      <c r="AB369" s="631"/>
      <c r="AC369" s="631"/>
      <c r="AD369" s="631"/>
      <c r="AF369" s="627">
        <v>795708.31</v>
      </c>
      <c r="AG369" s="627"/>
      <c r="AH369" s="627"/>
      <c r="AI369" s="627"/>
      <c r="AJ369" s="627"/>
      <c r="AK369" s="627"/>
      <c r="AL369" s="627"/>
    </row>
    <row r="370" spans="1:38" ht="11.1" customHeight="1" x14ac:dyDescent="0.25">
      <c r="A370" s="630" t="s">
        <v>3689</v>
      </c>
      <c r="B370" s="630"/>
      <c r="C370" s="630"/>
      <c r="M370" s="630" t="s">
        <v>2215</v>
      </c>
      <c r="N370" s="630"/>
      <c r="O370" s="630"/>
      <c r="P370" s="630"/>
      <c r="Q370" s="627">
        <v>596057.9</v>
      </c>
      <c r="R370" s="627"/>
      <c r="T370" s="631">
        <v>199650.41</v>
      </c>
      <c r="U370" s="631"/>
      <c r="V370" s="631"/>
      <c r="Y370" s="631">
        <v>0</v>
      </c>
      <c r="Z370" s="631"/>
      <c r="AA370" s="631"/>
      <c r="AB370" s="631"/>
      <c r="AC370" s="631"/>
      <c r="AD370" s="631"/>
      <c r="AF370" s="627">
        <v>795708.31</v>
      </c>
      <c r="AG370" s="627"/>
      <c r="AH370" s="627"/>
      <c r="AI370" s="627"/>
      <c r="AJ370" s="627"/>
      <c r="AK370" s="627"/>
      <c r="AL370" s="627"/>
    </row>
    <row r="371" spans="1:38" ht="11.1" customHeight="1" x14ac:dyDescent="0.25">
      <c r="A371" s="630" t="s">
        <v>3690</v>
      </c>
      <c r="B371" s="630"/>
      <c r="C371" s="630"/>
      <c r="K371" s="630" t="s">
        <v>711</v>
      </c>
      <c r="L371" s="630"/>
      <c r="M371" s="630"/>
      <c r="N371" s="630"/>
      <c r="O371" s="630"/>
      <c r="P371" s="630"/>
      <c r="Q371" s="627">
        <v>3632484.67</v>
      </c>
      <c r="R371" s="627"/>
      <c r="T371" s="631">
        <v>268.62</v>
      </c>
      <c r="U371" s="631"/>
      <c r="V371" s="631"/>
      <c r="Y371" s="631">
        <v>0</v>
      </c>
      <c r="Z371" s="631"/>
      <c r="AA371" s="631"/>
      <c r="AB371" s="631"/>
      <c r="AC371" s="631"/>
      <c r="AD371" s="631"/>
      <c r="AF371" s="627">
        <v>3632753.29</v>
      </c>
      <c r="AG371" s="627"/>
      <c r="AH371" s="627"/>
      <c r="AI371" s="627"/>
      <c r="AJ371" s="627"/>
      <c r="AK371" s="627"/>
      <c r="AL371" s="627"/>
    </row>
    <row r="372" spans="1:38" ht="11.1" customHeight="1" x14ac:dyDescent="0.25">
      <c r="A372" s="630" t="s">
        <v>3691</v>
      </c>
      <c r="B372" s="630"/>
      <c r="C372" s="630"/>
      <c r="L372" s="630" t="s">
        <v>713</v>
      </c>
      <c r="M372" s="630"/>
      <c r="N372" s="630"/>
      <c r="O372" s="630"/>
      <c r="P372" s="630"/>
      <c r="Q372" s="627">
        <v>3410606.58</v>
      </c>
      <c r="R372" s="627"/>
      <c r="T372" s="631">
        <v>268.62</v>
      </c>
      <c r="U372" s="631"/>
      <c r="V372" s="631"/>
      <c r="Y372" s="631">
        <v>0</v>
      </c>
      <c r="Z372" s="631"/>
      <c r="AA372" s="631"/>
      <c r="AB372" s="631"/>
      <c r="AC372" s="631"/>
      <c r="AD372" s="631"/>
      <c r="AF372" s="627">
        <v>3410875.2</v>
      </c>
      <c r="AG372" s="627"/>
      <c r="AH372" s="627"/>
      <c r="AI372" s="627"/>
      <c r="AJ372" s="627"/>
      <c r="AK372" s="627"/>
      <c r="AL372" s="627"/>
    </row>
    <row r="373" spans="1:38" ht="11.1" customHeight="1" x14ac:dyDescent="0.25">
      <c r="A373" s="630" t="s">
        <v>3692</v>
      </c>
      <c r="B373" s="630"/>
      <c r="C373" s="630"/>
      <c r="M373" s="630" t="s">
        <v>715</v>
      </c>
      <c r="N373" s="630"/>
      <c r="O373" s="630"/>
      <c r="P373" s="630"/>
      <c r="Q373" s="627">
        <v>318146.39</v>
      </c>
      <c r="R373" s="627"/>
      <c r="T373" s="631">
        <v>0</v>
      </c>
      <c r="U373" s="631"/>
      <c r="V373" s="631"/>
      <c r="Y373" s="631">
        <v>0</v>
      </c>
      <c r="Z373" s="631"/>
      <c r="AA373" s="631"/>
      <c r="AB373" s="631"/>
      <c r="AC373" s="631"/>
      <c r="AD373" s="631"/>
      <c r="AF373" s="627">
        <v>318146.39</v>
      </c>
      <c r="AG373" s="627"/>
      <c r="AH373" s="627"/>
      <c r="AI373" s="627"/>
      <c r="AJ373" s="627"/>
      <c r="AK373" s="627"/>
      <c r="AL373" s="627"/>
    </row>
    <row r="374" spans="1:38" ht="11.1" customHeight="1" x14ac:dyDescent="0.25">
      <c r="A374" s="630" t="s">
        <v>3693</v>
      </c>
      <c r="B374" s="630"/>
      <c r="C374" s="630"/>
      <c r="M374" s="630" t="s">
        <v>717</v>
      </c>
      <c r="N374" s="630"/>
      <c r="O374" s="630"/>
      <c r="P374" s="630"/>
      <c r="Q374" s="627">
        <v>848745.84</v>
      </c>
      <c r="R374" s="627"/>
      <c r="T374" s="631">
        <v>0</v>
      </c>
      <c r="U374" s="631"/>
      <c r="V374" s="631"/>
      <c r="Y374" s="631">
        <v>0</v>
      </c>
      <c r="Z374" s="631"/>
      <c r="AA374" s="631"/>
      <c r="AB374" s="631"/>
      <c r="AC374" s="631"/>
      <c r="AD374" s="631"/>
      <c r="AF374" s="627">
        <v>848745.84</v>
      </c>
      <c r="AG374" s="627"/>
      <c r="AH374" s="627"/>
      <c r="AI374" s="627"/>
      <c r="AJ374" s="627"/>
      <c r="AK374" s="627"/>
      <c r="AL374" s="627"/>
    </row>
    <row r="375" spans="1:38" ht="11.1" customHeight="1" x14ac:dyDescent="0.25">
      <c r="A375" s="630" t="s">
        <v>3694</v>
      </c>
      <c r="B375" s="630"/>
      <c r="C375" s="630"/>
      <c r="M375" s="630" t="s">
        <v>719</v>
      </c>
      <c r="N375" s="630"/>
      <c r="O375" s="630"/>
      <c r="P375" s="630"/>
      <c r="Q375" s="627">
        <v>1597548.81</v>
      </c>
      <c r="R375" s="627"/>
      <c r="T375" s="631">
        <v>268.62</v>
      </c>
      <c r="U375" s="631"/>
      <c r="V375" s="631"/>
      <c r="Y375" s="631">
        <v>0</v>
      </c>
      <c r="Z375" s="631"/>
      <c r="AA375" s="631"/>
      <c r="AB375" s="631"/>
      <c r="AC375" s="631"/>
      <c r="AD375" s="631"/>
      <c r="AF375" s="627">
        <v>1597817.43</v>
      </c>
      <c r="AG375" s="627"/>
      <c r="AH375" s="627"/>
      <c r="AI375" s="627"/>
      <c r="AJ375" s="627"/>
      <c r="AK375" s="627"/>
      <c r="AL375" s="627"/>
    </row>
    <row r="376" spans="1:38" ht="11.1" customHeight="1" x14ac:dyDescent="0.25">
      <c r="A376" s="630" t="s">
        <v>3695</v>
      </c>
      <c r="B376" s="630"/>
      <c r="C376" s="630"/>
      <c r="M376" s="630" t="s">
        <v>721</v>
      </c>
      <c r="N376" s="630"/>
      <c r="O376" s="630"/>
      <c r="P376" s="630"/>
      <c r="Q376" s="627">
        <v>347406.46</v>
      </c>
      <c r="R376" s="627"/>
      <c r="T376" s="631">
        <v>0</v>
      </c>
      <c r="U376" s="631"/>
      <c r="V376" s="631"/>
      <c r="Y376" s="631">
        <v>0</v>
      </c>
      <c r="Z376" s="631"/>
      <c r="AA376" s="631"/>
      <c r="AB376" s="631"/>
      <c r="AC376" s="631"/>
      <c r="AD376" s="631"/>
      <c r="AF376" s="627">
        <v>347406.46</v>
      </c>
      <c r="AG376" s="627"/>
      <c r="AH376" s="627"/>
      <c r="AI376" s="627"/>
      <c r="AJ376" s="627"/>
      <c r="AK376" s="627"/>
      <c r="AL376" s="627"/>
    </row>
    <row r="377" spans="1:38" ht="11.1" customHeight="1" x14ac:dyDescent="0.25">
      <c r="A377" s="630" t="s">
        <v>3696</v>
      </c>
      <c r="B377" s="630"/>
      <c r="C377" s="630"/>
      <c r="M377" s="630" t="s">
        <v>723</v>
      </c>
      <c r="N377" s="630"/>
      <c r="O377" s="630"/>
      <c r="P377" s="630"/>
      <c r="Q377" s="627">
        <v>92765.36</v>
      </c>
      <c r="R377" s="627"/>
      <c r="T377" s="631">
        <v>0</v>
      </c>
      <c r="U377" s="631"/>
      <c r="V377" s="631"/>
      <c r="Y377" s="631">
        <v>0</v>
      </c>
      <c r="Z377" s="631"/>
      <c r="AA377" s="631"/>
      <c r="AB377" s="631"/>
      <c r="AC377" s="631"/>
      <c r="AD377" s="631"/>
      <c r="AF377" s="627">
        <v>92765.36</v>
      </c>
      <c r="AG377" s="627"/>
      <c r="AH377" s="627"/>
      <c r="AI377" s="627"/>
      <c r="AJ377" s="627"/>
      <c r="AK377" s="627"/>
      <c r="AL377" s="627"/>
    </row>
    <row r="378" spans="1:38" ht="11.1" customHeight="1" x14ac:dyDescent="0.25">
      <c r="A378" s="630" t="s">
        <v>3697</v>
      </c>
      <c r="B378" s="630"/>
      <c r="C378" s="630"/>
      <c r="M378" s="630" t="s">
        <v>725</v>
      </c>
      <c r="N378" s="630"/>
      <c r="O378" s="630"/>
      <c r="P378" s="630"/>
      <c r="Q378" s="627">
        <v>205993.72</v>
      </c>
      <c r="R378" s="627"/>
      <c r="T378" s="631">
        <v>0</v>
      </c>
      <c r="U378" s="631"/>
      <c r="V378" s="631"/>
      <c r="Y378" s="631">
        <v>0</v>
      </c>
      <c r="Z378" s="631"/>
      <c r="AA378" s="631"/>
      <c r="AB378" s="631"/>
      <c r="AC378" s="631"/>
      <c r="AD378" s="631"/>
      <c r="AF378" s="627">
        <v>205993.72</v>
      </c>
      <c r="AG378" s="627"/>
      <c r="AH378" s="627"/>
      <c r="AI378" s="627"/>
      <c r="AJ378" s="627"/>
      <c r="AK378" s="627"/>
      <c r="AL378" s="627"/>
    </row>
    <row r="379" spans="1:38" ht="11.1" customHeight="1" x14ac:dyDescent="0.25">
      <c r="A379" s="630" t="s">
        <v>3698</v>
      </c>
      <c r="B379" s="630"/>
      <c r="C379" s="630"/>
      <c r="L379" s="630" t="s">
        <v>727</v>
      </c>
      <c r="M379" s="630"/>
      <c r="N379" s="630"/>
      <c r="O379" s="630"/>
      <c r="P379" s="630"/>
      <c r="Q379" s="627">
        <v>43406.33</v>
      </c>
      <c r="R379" s="627"/>
      <c r="T379" s="631">
        <v>0</v>
      </c>
      <c r="U379" s="631"/>
      <c r="V379" s="631"/>
      <c r="Y379" s="631">
        <v>0</v>
      </c>
      <c r="Z379" s="631"/>
      <c r="AA379" s="631"/>
      <c r="AB379" s="631"/>
      <c r="AC379" s="631"/>
      <c r="AD379" s="631"/>
      <c r="AF379" s="627">
        <v>43406.33</v>
      </c>
      <c r="AG379" s="627"/>
      <c r="AH379" s="627"/>
      <c r="AI379" s="627"/>
      <c r="AJ379" s="627"/>
      <c r="AK379" s="627"/>
      <c r="AL379" s="627"/>
    </row>
    <row r="380" spans="1:38" ht="11.1" customHeight="1" x14ac:dyDescent="0.25">
      <c r="A380" s="630" t="s">
        <v>3699</v>
      </c>
      <c r="B380" s="630"/>
      <c r="C380" s="630"/>
      <c r="M380" s="630" t="s">
        <v>729</v>
      </c>
      <c r="N380" s="630"/>
      <c r="O380" s="630"/>
      <c r="P380" s="630"/>
      <c r="Q380" s="627">
        <v>43406.33</v>
      </c>
      <c r="R380" s="627"/>
      <c r="T380" s="631">
        <v>0</v>
      </c>
      <c r="U380" s="631"/>
      <c r="V380" s="631"/>
      <c r="Y380" s="631">
        <v>0</v>
      </c>
      <c r="Z380" s="631"/>
      <c r="AA380" s="631"/>
      <c r="AB380" s="631"/>
      <c r="AC380" s="631"/>
      <c r="AD380" s="631"/>
      <c r="AF380" s="627">
        <v>43406.33</v>
      </c>
      <c r="AG380" s="627"/>
      <c r="AH380" s="627"/>
      <c r="AI380" s="627"/>
      <c r="AJ380" s="627"/>
      <c r="AK380" s="627"/>
      <c r="AL380" s="627"/>
    </row>
    <row r="381" spans="1:38" ht="11.1" customHeight="1" x14ac:dyDescent="0.25">
      <c r="A381" s="630" t="s">
        <v>3700</v>
      </c>
      <c r="B381" s="630"/>
      <c r="C381" s="630"/>
      <c r="L381" s="630" t="s">
        <v>731</v>
      </c>
      <c r="M381" s="630"/>
      <c r="N381" s="630"/>
      <c r="O381" s="630"/>
      <c r="P381" s="630"/>
      <c r="Q381" s="627">
        <v>178471.76</v>
      </c>
      <c r="R381" s="627"/>
      <c r="T381" s="631">
        <v>0</v>
      </c>
      <c r="U381" s="631"/>
      <c r="V381" s="631"/>
      <c r="Y381" s="631">
        <v>0</v>
      </c>
      <c r="Z381" s="631"/>
      <c r="AA381" s="631"/>
      <c r="AB381" s="631"/>
      <c r="AC381" s="631"/>
      <c r="AD381" s="631"/>
      <c r="AF381" s="627">
        <v>178471.76</v>
      </c>
      <c r="AG381" s="627"/>
      <c r="AH381" s="627"/>
      <c r="AI381" s="627"/>
      <c r="AJ381" s="627"/>
      <c r="AK381" s="627"/>
      <c r="AL381" s="627"/>
    </row>
    <row r="382" spans="1:38" ht="11.1" customHeight="1" x14ac:dyDescent="0.25">
      <c r="A382" s="630" t="s">
        <v>3701</v>
      </c>
      <c r="B382" s="630"/>
      <c r="C382" s="630"/>
      <c r="M382" s="630" t="s">
        <v>733</v>
      </c>
      <c r="N382" s="630"/>
      <c r="O382" s="630"/>
      <c r="P382" s="630"/>
      <c r="Q382" s="627">
        <v>153471.76</v>
      </c>
      <c r="R382" s="627"/>
      <c r="T382" s="631">
        <v>0</v>
      </c>
      <c r="U382" s="631"/>
      <c r="V382" s="631"/>
      <c r="Y382" s="631">
        <v>0</v>
      </c>
      <c r="Z382" s="631"/>
      <c r="AA382" s="631"/>
      <c r="AB382" s="631"/>
      <c r="AC382" s="631"/>
      <c r="AD382" s="631"/>
      <c r="AF382" s="627">
        <v>153471.76</v>
      </c>
      <c r="AG382" s="627"/>
      <c r="AH382" s="627"/>
      <c r="AI382" s="627"/>
      <c r="AJ382" s="627"/>
      <c r="AK382" s="627"/>
      <c r="AL382" s="627"/>
    </row>
    <row r="383" spans="1:38" ht="11.1" customHeight="1" x14ac:dyDescent="0.25">
      <c r="A383" s="630" t="s">
        <v>3702</v>
      </c>
      <c r="B383" s="630"/>
      <c r="C383" s="630"/>
      <c r="M383" s="630" t="s">
        <v>2825</v>
      </c>
      <c r="N383" s="630"/>
      <c r="O383" s="630"/>
      <c r="P383" s="630"/>
      <c r="Q383" s="627">
        <v>25000</v>
      </c>
      <c r="R383" s="627"/>
      <c r="T383" s="631">
        <v>0</v>
      </c>
      <c r="U383" s="631"/>
      <c r="V383" s="631"/>
      <c r="Y383" s="631">
        <v>0</v>
      </c>
      <c r="Z383" s="631"/>
      <c r="AA383" s="631"/>
      <c r="AB383" s="631"/>
      <c r="AC383" s="631"/>
      <c r="AD383" s="631"/>
      <c r="AF383" s="627">
        <v>25000</v>
      </c>
      <c r="AG383" s="627"/>
      <c r="AH383" s="627"/>
      <c r="AI383" s="627"/>
      <c r="AJ383" s="627"/>
      <c r="AK383" s="627"/>
      <c r="AL383" s="627"/>
    </row>
    <row r="384" spans="1:38" ht="11.1" customHeight="1" x14ac:dyDescent="0.25">
      <c r="A384" s="630" t="s">
        <v>3703</v>
      </c>
      <c r="B384" s="630"/>
      <c r="C384" s="630"/>
      <c r="K384" s="630" t="s">
        <v>735</v>
      </c>
      <c r="L384" s="630"/>
      <c r="M384" s="630"/>
      <c r="N384" s="630"/>
      <c r="O384" s="630"/>
      <c r="P384" s="630"/>
      <c r="Q384" s="627">
        <v>164961.51999999999</v>
      </c>
      <c r="R384" s="627"/>
      <c r="T384" s="631">
        <v>0</v>
      </c>
      <c r="U384" s="631"/>
      <c r="V384" s="631"/>
      <c r="Y384" s="631">
        <v>484.52</v>
      </c>
      <c r="Z384" s="631"/>
      <c r="AA384" s="631"/>
      <c r="AB384" s="631"/>
      <c r="AC384" s="631"/>
      <c r="AD384" s="631"/>
      <c r="AF384" s="627">
        <v>164477</v>
      </c>
      <c r="AG384" s="627"/>
      <c r="AH384" s="627"/>
      <c r="AI384" s="627"/>
      <c r="AJ384" s="627"/>
      <c r="AK384" s="627"/>
      <c r="AL384" s="627"/>
    </row>
    <row r="385" spans="1:38" ht="11.1" customHeight="1" x14ac:dyDescent="0.25">
      <c r="A385" s="630" t="s">
        <v>3704</v>
      </c>
      <c r="B385" s="630"/>
      <c r="C385" s="630"/>
      <c r="L385" s="630" t="s">
        <v>737</v>
      </c>
      <c r="M385" s="630"/>
      <c r="N385" s="630"/>
      <c r="O385" s="630"/>
      <c r="P385" s="630"/>
      <c r="Q385" s="627">
        <v>164961.51999999999</v>
      </c>
      <c r="R385" s="627"/>
      <c r="T385" s="631">
        <v>0</v>
      </c>
      <c r="U385" s="631"/>
      <c r="V385" s="631"/>
      <c r="Y385" s="631">
        <v>484.52</v>
      </c>
      <c r="Z385" s="631"/>
      <c r="AA385" s="631"/>
      <c r="AB385" s="631"/>
      <c r="AC385" s="631"/>
      <c r="AD385" s="631"/>
      <c r="AF385" s="627">
        <v>164477</v>
      </c>
      <c r="AG385" s="627"/>
      <c r="AH385" s="627"/>
      <c r="AI385" s="627"/>
      <c r="AJ385" s="627"/>
      <c r="AK385" s="627"/>
      <c r="AL385" s="627"/>
    </row>
    <row r="386" spans="1:38" ht="11.1" customHeight="1" x14ac:dyDescent="0.25">
      <c r="A386" s="630" t="s">
        <v>3705</v>
      </c>
      <c r="B386" s="630"/>
      <c r="C386" s="630"/>
      <c r="M386" s="630" t="s">
        <v>739</v>
      </c>
      <c r="N386" s="630"/>
      <c r="O386" s="630"/>
      <c r="P386" s="630"/>
      <c r="Q386" s="627">
        <v>164961.51999999999</v>
      </c>
      <c r="R386" s="627"/>
      <c r="T386" s="631">
        <v>0</v>
      </c>
      <c r="U386" s="631"/>
      <c r="V386" s="631"/>
      <c r="Y386" s="631">
        <v>484.52</v>
      </c>
      <c r="Z386" s="631"/>
      <c r="AA386" s="631"/>
      <c r="AB386" s="631"/>
      <c r="AC386" s="631"/>
      <c r="AD386" s="631"/>
      <c r="AF386" s="627">
        <v>164477</v>
      </c>
      <c r="AG386" s="627"/>
      <c r="AH386" s="627"/>
      <c r="AI386" s="627"/>
      <c r="AJ386" s="627"/>
      <c r="AK386" s="627"/>
      <c r="AL386" s="627"/>
    </row>
    <row r="387" spans="1:38" ht="11.1" customHeight="1" x14ac:dyDescent="0.25">
      <c r="A387" s="632" t="s">
        <v>3706</v>
      </c>
      <c r="B387" s="632"/>
      <c r="C387" s="632"/>
      <c r="J387" s="632" t="s">
        <v>741</v>
      </c>
      <c r="K387" s="632"/>
      <c r="L387" s="632"/>
      <c r="M387" s="632"/>
      <c r="N387" s="632"/>
      <c r="O387" s="632"/>
      <c r="P387" s="632"/>
      <c r="Q387" s="633">
        <v>1085424.51</v>
      </c>
      <c r="R387" s="633"/>
      <c r="T387" s="634">
        <v>0</v>
      </c>
      <c r="U387" s="634"/>
      <c r="V387" s="634"/>
      <c r="Y387" s="634">
        <v>0</v>
      </c>
      <c r="Z387" s="634"/>
      <c r="AA387" s="634"/>
      <c r="AB387" s="634"/>
      <c r="AC387" s="634"/>
      <c r="AD387" s="634"/>
      <c r="AF387" s="633">
        <v>1085424.51</v>
      </c>
      <c r="AG387" s="633"/>
      <c r="AH387" s="633"/>
      <c r="AI387" s="633"/>
      <c r="AJ387" s="633"/>
      <c r="AK387" s="633"/>
      <c r="AL387" s="633"/>
    </row>
    <row r="388" spans="1:38" ht="11.1" customHeight="1" x14ac:dyDescent="0.25">
      <c r="A388" s="630" t="s">
        <v>3707</v>
      </c>
      <c r="B388" s="630"/>
      <c r="C388" s="630"/>
      <c r="K388" s="630" t="s">
        <v>616</v>
      </c>
      <c r="L388" s="630"/>
      <c r="M388" s="630"/>
      <c r="N388" s="630"/>
      <c r="O388" s="630"/>
      <c r="P388" s="630"/>
      <c r="Q388" s="627">
        <v>1085424.51</v>
      </c>
      <c r="R388" s="627"/>
      <c r="T388" s="631">
        <v>0</v>
      </c>
      <c r="U388" s="631"/>
      <c r="V388" s="631"/>
      <c r="Y388" s="631">
        <v>0</v>
      </c>
      <c r="Z388" s="631"/>
      <c r="AA388" s="631"/>
      <c r="AB388" s="631"/>
      <c r="AC388" s="631"/>
      <c r="AD388" s="631"/>
      <c r="AF388" s="627">
        <v>1085424.51</v>
      </c>
      <c r="AG388" s="627"/>
      <c r="AH388" s="627"/>
      <c r="AI388" s="627"/>
      <c r="AJ388" s="627"/>
      <c r="AK388" s="627"/>
      <c r="AL388" s="627"/>
    </row>
    <row r="389" spans="1:38" ht="11.1" customHeight="1" x14ac:dyDescent="0.25">
      <c r="A389" s="630" t="s">
        <v>3708</v>
      </c>
      <c r="B389" s="630"/>
      <c r="C389" s="630"/>
      <c r="L389" s="630" t="s">
        <v>302</v>
      </c>
      <c r="M389" s="630"/>
      <c r="N389" s="630"/>
      <c r="O389" s="630"/>
      <c r="P389" s="630"/>
      <c r="Q389" s="627">
        <v>1085424.51</v>
      </c>
      <c r="R389" s="627"/>
      <c r="T389" s="631">
        <v>0</v>
      </c>
      <c r="U389" s="631"/>
      <c r="V389" s="631"/>
      <c r="Y389" s="631">
        <v>0</v>
      </c>
      <c r="Z389" s="631"/>
      <c r="AA389" s="631"/>
      <c r="AB389" s="631"/>
      <c r="AC389" s="631"/>
      <c r="AD389" s="631"/>
      <c r="AF389" s="627">
        <v>1085424.51</v>
      </c>
      <c r="AG389" s="627"/>
      <c r="AH389" s="627"/>
      <c r="AI389" s="627"/>
      <c r="AJ389" s="627"/>
      <c r="AK389" s="627"/>
      <c r="AL389" s="627"/>
    </row>
    <row r="390" spans="1:38" ht="11.1" customHeight="1" x14ac:dyDescent="0.25">
      <c r="A390" s="630" t="s">
        <v>3709</v>
      </c>
      <c r="B390" s="630"/>
      <c r="C390" s="630"/>
      <c r="M390" s="630" t="s">
        <v>616</v>
      </c>
      <c r="N390" s="630"/>
      <c r="O390" s="630"/>
      <c r="P390" s="630"/>
      <c r="Q390" s="627">
        <v>1085424.51</v>
      </c>
      <c r="R390" s="627"/>
      <c r="T390" s="631">
        <v>0</v>
      </c>
      <c r="U390" s="631"/>
      <c r="V390" s="631"/>
      <c r="Y390" s="631">
        <v>0</v>
      </c>
      <c r="Z390" s="631"/>
      <c r="AA390" s="631"/>
      <c r="AB390" s="631"/>
      <c r="AC390" s="631"/>
      <c r="AD390" s="631"/>
      <c r="AF390" s="627">
        <v>1085424.51</v>
      </c>
      <c r="AG390" s="627"/>
      <c r="AH390" s="627"/>
      <c r="AI390" s="627"/>
      <c r="AJ390" s="627"/>
      <c r="AK390" s="627"/>
      <c r="AL390" s="627"/>
    </row>
    <row r="391" spans="1:38" ht="11.1" customHeight="1" x14ac:dyDescent="0.25">
      <c r="A391" s="632" t="s">
        <v>3710</v>
      </c>
      <c r="B391" s="632"/>
      <c r="C391" s="632"/>
      <c r="J391" s="632" t="s">
        <v>746</v>
      </c>
      <c r="K391" s="632"/>
      <c r="L391" s="632"/>
      <c r="M391" s="632"/>
      <c r="N391" s="632"/>
      <c r="O391" s="632"/>
      <c r="P391" s="632"/>
      <c r="Q391" s="633">
        <v>-408642.2</v>
      </c>
      <c r="R391" s="633"/>
      <c r="T391" s="634">
        <v>0</v>
      </c>
      <c r="U391" s="634"/>
      <c r="V391" s="634"/>
      <c r="Y391" s="634">
        <v>3161.23</v>
      </c>
      <c r="Z391" s="634"/>
      <c r="AA391" s="634"/>
      <c r="AB391" s="634"/>
      <c r="AC391" s="634"/>
      <c r="AD391" s="634"/>
      <c r="AF391" s="633">
        <v>-411803.43</v>
      </c>
      <c r="AG391" s="633"/>
      <c r="AH391" s="633"/>
      <c r="AI391" s="633"/>
      <c r="AJ391" s="633"/>
      <c r="AK391" s="633"/>
      <c r="AL391" s="633"/>
    </row>
    <row r="392" spans="1:38" ht="11.1" customHeight="1" x14ac:dyDescent="0.25">
      <c r="A392" s="630" t="s">
        <v>3711</v>
      </c>
      <c r="B392" s="630"/>
      <c r="C392" s="630"/>
      <c r="K392" s="630" t="s">
        <v>616</v>
      </c>
      <c r="L392" s="630"/>
      <c r="M392" s="630"/>
      <c r="N392" s="630"/>
      <c r="O392" s="630"/>
      <c r="P392" s="630"/>
      <c r="Q392" s="627">
        <v>-408642.2</v>
      </c>
      <c r="R392" s="627"/>
      <c r="T392" s="631">
        <v>0</v>
      </c>
      <c r="U392" s="631"/>
      <c r="V392" s="631"/>
      <c r="Y392" s="631">
        <v>3161.23</v>
      </c>
      <c r="Z392" s="631"/>
      <c r="AA392" s="631"/>
      <c r="AB392" s="631"/>
      <c r="AC392" s="631"/>
      <c r="AD392" s="631"/>
      <c r="AF392" s="627">
        <v>-411803.43</v>
      </c>
      <c r="AG392" s="627"/>
      <c r="AH392" s="627"/>
      <c r="AI392" s="627"/>
      <c r="AJ392" s="627"/>
      <c r="AK392" s="627"/>
      <c r="AL392" s="627"/>
    </row>
    <row r="393" spans="1:38" ht="11.1" customHeight="1" x14ac:dyDescent="0.25">
      <c r="A393" s="630" t="s">
        <v>3712</v>
      </c>
      <c r="B393" s="630"/>
      <c r="C393" s="630"/>
      <c r="L393" s="630" t="s">
        <v>302</v>
      </c>
      <c r="M393" s="630"/>
      <c r="N393" s="630"/>
      <c r="O393" s="630"/>
      <c r="P393" s="630"/>
      <c r="Q393" s="627">
        <v>-408642.2</v>
      </c>
      <c r="R393" s="627"/>
      <c r="T393" s="631">
        <v>0</v>
      </c>
      <c r="U393" s="631"/>
      <c r="V393" s="631"/>
      <c r="Y393" s="631">
        <v>3161.23</v>
      </c>
      <c r="Z393" s="631"/>
      <c r="AA393" s="631"/>
      <c r="AB393" s="631"/>
      <c r="AC393" s="631"/>
      <c r="AD393" s="631"/>
      <c r="AF393" s="627">
        <v>-411803.43</v>
      </c>
      <c r="AG393" s="627"/>
      <c r="AH393" s="627"/>
      <c r="AI393" s="627"/>
      <c r="AJ393" s="627"/>
      <c r="AK393" s="627"/>
      <c r="AL393" s="627"/>
    </row>
    <row r="394" spans="1:38" ht="11.1" customHeight="1" x14ac:dyDescent="0.25">
      <c r="A394" s="630" t="s">
        <v>3713</v>
      </c>
      <c r="B394" s="630"/>
      <c r="C394" s="630"/>
      <c r="M394" s="630" t="s">
        <v>616</v>
      </c>
      <c r="N394" s="630"/>
      <c r="O394" s="630"/>
      <c r="P394" s="630"/>
      <c r="Q394" s="627">
        <v>-408642.2</v>
      </c>
      <c r="R394" s="627"/>
      <c r="T394" s="631">
        <v>0</v>
      </c>
      <c r="U394" s="631"/>
      <c r="V394" s="631"/>
      <c r="Y394" s="631">
        <v>3161.23</v>
      </c>
      <c r="Z394" s="631"/>
      <c r="AA394" s="631"/>
      <c r="AB394" s="631"/>
      <c r="AC394" s="631"/>
      <c r="AD394" s="631"/>
      <c r="AF394" s="627">
        <v>-411803.43</v>
      </c>
      <c r="AG394" s="627"/>
      <c r="AH394" s="627"/>
      <c r="AI394" s="627"/>
      <c r="AJ394" s="627"/>
      <c r="AK394" s="627"/>
      <c r="AL394" s="627"/>
    </row>
    <row r="395" spans="1:38" ht="11.1" customHeight="1" x14ac:dyDescent="0.25">
      <c r="A395" s="632" t="s">
        <v>3714</v>
      </c>
      <c r="B395" s="632"/>
      <c r="C395" s="632"/>
      <c r="J395" s="632" t="s">
        <v>751</v>
      </c>
      <c r="K395" s="632"/>
      <c r="L395" s="632"/>
      <c r="M395" s="632"/>
      <c r="N395" s="632"/>
      <c r="O395" s="632"/>
      <c r="P395" s="632"/>
      <c r="Q395" s="633">
        <v>-31634243.379999999</v>
      </c>
      <c r="R395" s="633"/>
      <c r="T395" s="634">
        <v>0</v>
      </c>
      <c r="U395" s="634"/>
      <c r="V395" s="634"/>
      <c r="Y395" s="634">
        <v>0</v>
      </c>
      <c r="Z395" s="634"/>
      <c r="AA395" s="634"/>
      <c r="AB395" s="634"/>
      <c r="AC395" s="634"/>
      <c r="AD395" s="634"/>
      <c r="AF395" s="633">
        <v>-31634243.379999999</v>
      </c>
      <c r="AG395" s="633"/>
      <c r="AH395" s="633"/>
      <c r="AI395" s="633"/>
      <c r="AJ395" s="633"/>
      <c r="AK395" s="633"/>
      <c r="AL395" s="633"/>
    </row>
    <row r="396" spans="1:38" ht="11.1" customHeight="1" x14ac:dyDescent="0.25">
      <c r="A396" s="630" t="s">
        <v>3715</v>
      </c>
      <c r="B396" s="630"/>
      <c r="C396" s="630"/>
      <c r="K396" s="630" t="s">
        <v>753</v>
      </c>
      <c r="L396" s="630"/>
      <c r="M396" s="630"/>
      <c r="N396" s="630"/>
      <c r="O396" s="630"/>
      <c r="P396" s="630"/>
      <c r="Q396" s="627">
        <v>-186719.55</v>
      </c>
      <c r="R396" s="627"/>
      <c r="T396" s="631">
        <v>0</v>
      </c>
      <c r="U396" s="631"/>
      <c r="V396" s="631"/>
      <c r="Y396" s="631">
        <v>0</v>
      </c>
      <c r="Z396" s="631"/>
      <c r="AA396" s="631"/>
      <c r="AB396" s="631"/>
      <c r="AC396" s="631"/>
      <c r="AD396" s="631"/>
      <c r="AF396" s="627">
        <v>-186719.55</v>
      </c>
      <c r="AG396" s="627"/>
      <c r="AH396" s="627"/>
      <c r="AI396" s="627"/>
      <c r="AJ396" s="627"/>
      <c r="AK396" s="627"/>
      <c r="AL396" s="627"/>
    </row>
    <row r="397" spans="1:38" ht="11.1" customHeight="1" x14ac:dyDescent="0.25">
      <c r="A397" s="630" t="s">
        <v>3716</v>
      </c>
      <c r="B397" s="630"/>
      <c r="C397" s="630"/>
      <c r="L397" s="630" t="s">
        <v>591</v>
      </c>
      <c r="M397" s="630"/>
      <c r="N397" s="630"/>
      <c r="O397" s="630"/>
      <c r="P397" s="630"/>
      <c r="Q397" s="627">
        <v>-186719.55</v>
      </c>
      <c r="R397" s="627"/>
      <c r="T397" s="631">
        <v>0</v>
      </c>
      <c r="U397" s="631"/>
      <c r="V397" s="631"/>
      <c r="Y397" s="631">
        <v>0</v>
      </c>
      <c r="Z397" s="631"/>
      <c r="AA397" s="631"/>
      <c r="AB397" s="631"/>
      <c r="AC397" s="631"/>
      <c r="AD397" s="631"/>
      <c r="AF397" s="627">
        <v>-186719.55</v>
      </c>
      <c r="AG397" s="627"/>
      <c r="AH397" s="627"/>
      <c r="AI397" s="627"/>
      <c r="AJ397" s="627"/>
      <c r="AK397" s="627"/>
      <c r="AL397" s="627"/>
    </row>
    <row r="398" spans="1:38" ht="11.1" customHeight="1" x14ac:dyDescent="0.25">
      <c r="A398" s="630" t="s">
        <v>3717</v>
      </c>
      <c r="B398" s="630"/>
      <c r="C398" s="630"/>
      <c r="M398" s="630" t="s">
        <v>756</v>
      </c>
      <c r="N398" s="630"/>
      <c r="O398" s="630"/>
      <c r="P398" s="630"/>
      <c r="Q398" s="627">
        <v>-186719.55</v>
      </c>
      <c r="R398" s="627"/>
      <c r="T398" s="631">
        <v>0</v>
      </c>
      <c r="U398" s="631"/>
      <c r="V398" s="631"/>
      <c r="Y398" s="631">
        <v>0</v>
      </c>
      <c r="Z398" s="631"/>
      <c r="AA398" s="631"/>
      <c r="AB398" s="631"/>
      <c r="AC398" s="631"/>
      <c r="AD398" s="631"/>
      <c r="AF398" s="627">
        <v>-186719.55</v>
      </c>
      <c r="AG398" s="627"/>
      <c r="AH398" s="627"/>
      <c r="AI398" s="627"/>
      <c r="AJ398" s="627"/>
      <c r="AK398" s="627"/>
      <c r="AL398" s="627"/>
    </row>
    <row r="399" spans="1:38" ht="11.1" customHeight="1" x14ac:dyDescent="0.25">
      <c r="A399" s="630" t="s">
        <v>3718</v>
      </c>
      <c r="B399" s="630"/>
      <c r="C399" s="630"/>
      <c r="K399" s="630" t="s">
        <v>758</v>
      </c>
      <c r="L399" s="630"/>
      <c r="M399" s="630"/>
      <c r="N399" s="630"/>
      <c r="O399" s="630"/>
      <c r="P399" s="630"/>
      <c r="Q399" s="627">
        <v>-16313055.550000001</v>
      </c>
      <c r="R399" s="627"/>
      <c r="T399" s="631">
        <v>0</v>
      </c>
      <c r="U399" s="631"/>
      <c r="V399" s="631"/>
      <c r="Y399" s="631">
        <v>0</v>
      </c>
      <c r="Z399" s="631"/>
      <c r="AA399" s="631"/>
      <c r="AB399" s="631"/>
      <c r="AC399" s="631"/>
      <c r="AD399" s="631"/>
      <c r="AF399" s="627">
        <v>-16313055.550000001</v>
      </c>
      <c r="AG399" s="627"/>
      <c r="AH399" s="627"/>
      <c r="AI399" s="627"/>
      <c r="AJ399" s="627"/>
      <c r="AK399" s="627"/>
      <c r="AL399" s="627"/>
    </row>
    <row r="400" spans="1:38" ht="11.1" customHeight="1" x14ac:dyDescent="0.25">
      <c r="A400" s="630" t="s">
        <v>3719</v>
      </c>
      <c r="B400" s="630"/>
      <c r="C400" s="630"/>
      <c r="L400" s="630" t="s">
        <v>591</v>
      </c>
      <c r="M400" s="630"/>
      <c r="N400" s="630"/>
      <c r="O400" s="630"/>
      <c r="P400" s="630"/>
      <c r="Q400" s="627">
        <v>-16313055.550000001</v>
      </c>
      <c r="R400" s="627"/>
      <c r="T400" s="631">
        <v>0</v>
      </c>
      <c r="U400" s="631"/>
      <c r="V400" s="631"/>
      <c r="Y400" s="631">
        <v>0</v>
      </c>
      <c r="Z400" s="631"/>
      <c r="AA400" s="631"/>
      <c r="AB400" s="631"/>
      <c r="AC400" s="631"/>
      <c r="AD400" s="631"/>
      <c r="AF400" s="627">
        <v>-16313055.550000001</v>
      </c>
      <c r="AG400" s="627"/>
      <c r="AH400" s="627"/>
      <c r="AI400" s="627"/>
      <c r="AJ400" s="627"/>
      <c r="AK400" s="627"/>
      <c r="AL400" s="627"/>
    </row>
    <row r="401" spans="1:38" ht="11.1" customHeight="1" x14ac:dyDescent="0.25">
      <c r="A401" s="630" t="s">
        <v>3720</v>
      </c>
      <c r="B401" s="630"/>
      <c r="C401" s="630"/>
      <c r="M401" s="630" t="s">
        <v>761</v>
      </c>
      <c r="N401" s="630"/>
      <c r="O401" s="630"/>
      <c r="P401" s="630"/>
      <c r="Q401" s="627">
        <v>-16313055.550000001</v>
      </c>
      <c r="R401" s="627"/>
      <c r="T401" s="631">
        <v>0</v>
      </c>
      <c r="U401" s="631"/>
      <c r="V401" s="631"/>
      <c r="Y401" s="631">
        <v>0</v>
      </c>
      <c r="Z401" s="631"/>
      <c r="AA401" s="631"/>
      <c r="AB401" s="631"/>
      <c r="AC401" s="631"/>
      <c r="AD401" s="631"/>
      <c r="AF401" s="627">
        <v>-16313055.550000001</v>
      </c>
      <c r="AG401" s="627"/>
      <c r="AH401" s="627"/>
      <c r="AI401" s="627"/>
      <c r="AJ401" s="627"/>
      <c r="AK401" s="627"/>
      <c r="AL401" s="627"/>
    </row>
    <row r="402" spans="1:38" ht="11.1" customHeight="1" x14ac:dyDescent="0.25">
      <c r="A402" s="630" t="s">
        <v>3721</v>
      </c>
      <c r="B402" s="630"/>
      <c r="C402" s="630"/>
      <c r="K402" s="630" t="s">
        <v>763</v>
      </c>
      <c r="L402" s="630"/>
      <c r="M402" s="630"/>
      <c r="N402" s="630"/>
      <c r="O402" s="630"/>
      <c r="P402" s="630"/>
      <c r="Q402" s="627">
        <v>-2829503.15</v>
      </c>
      <c r="R402" s="627"/>
      <c r="T402" s="631">
        <v>0</v>
      </c>
      <c r="U402" s="631"/>
      <c r="V402" s="631"/>
      <c r="Y402" s="631">
        <v>0</v>
      </c>
      <c r="Z402" s="631"/>
      <c r="AA402" s="631"/>
      <c r="AB402" s="631"/>
      <c r="AC402" s="631"/>
      <c r="AD402" s="631"/>
      <c r="AF402" s="627">
        <v>-2829503.15</v>
      </c>
      <c r="AG402" s="627"/>
      <c r="AH402" s="627"/>
      <c r="AI402" s="627"/>
      <c r="AJ402" s="627"/>
      <c r="AK402" s="627"/>
      <c r="AL402" s="627"/>
    </row>
    <row r="403" spans="1:38" ht="11.1" customHeight="1" x14ac:dyDescent="0.25">
      <c r="A403" s="630" t="s">
        <v>3722</v>
      </c>
      <c r="B403" s="630"/>
      <c r="C403" s="630"/>
      <c r="L403" s="630" t="s">
        <v>591</v>
      </c>
      <c r="M403" s="630"/>
      <c r="N403" s="630"/>
      <c r="O403" s="630"/>
      <c r="P403" s="630"/>
      <c r="Q403" s="627">
        <v>-2829503.15</v>
      </c>
      <c r="R403" s="627"/>
      <c r="T403" s="631">
        <v>0</v>
      </c>
      <c r="U403" s="631"/>
      <c r="V403" s="631"/>
      <c r="Y403" s="631">
        <v>0</v>
      </c>
      <c r="Z403" s="631"/>
      <c r="AA403" s="631"/>
      <c r="AB403" s="631"/>
      <c r="AC403" s="631"/>
      <c r="AD403" s="631"/>
      <c r="AF403" s="627">
        <v>-2829503.15</v>
      </c>
      <c r="AG403" s="627"/>
      <c r="AH403" s="627"/>
      <c r="AI403" s="627"/>
      <c r="AJ403" s="627"/>
      <c r="AK403" s="627"/>
      <c r="AL403" s="627"/>
    </row>
    <row r="404" spans="1:38" ht="11.1" customHeight="1" x14ac:dyDescent="0.25">
      <c r="A404" s="630" t="s">
        <v>3723</v>
      </c>
      <c r="B404" s="630"/>
      <c r="C404" s="630"/>
      <c r="M404" s="630" t="s">
        <v>766</v>
      </c>
      <c r="N404" s="630"/>
      <c r="O404" s="630"/>
      <c r="P404" s="630"/>
      <c r="Q404" s="627">
        <v>-2829503.15</v>
      </c>
      <c r="R404" s="627"/>
      <c r="T404" s="631">
        <v>0</v>
      </c>
      <c r="U404" s="631"/>
      <c r="V404" s="631"/>
      <c r="Y404" s="631">
        <v>0</v>
      </c>
      <c r="Z404" s="631"/>
      <c r="AA404" s="631"/>
      <c r="AB404" s="631"/>
      <c r="AC404" s="631"/>
      <c r="AD404" s="631"/>
      <c r="AF404" s="627">
        <v>-2829503.15</v>
      </c>
      <c r="AG404" s="627"/>
      <c r="AH404" s="627"/>
      <c r="AI404" s="627"/>
      <c r="AJ404" s="627"/>
      <c r="AK404" s="627"/>
      <c r="AL404" s="627"/>
    </row>
    <row r="405" spans="1:38" ht="11.1" customHeight="1" x14ac:dyDescent="0.25">
      <c r="A405" s="630" t="s">
        <v>3724</v>
      </c>
      <c r="B405" s="630"/>
      <c r="C405" s="630"/>
      <c r="K405" s="630" t="s">
        <v>768</v>
      </c>
      <c r="L405" s="630"/>
      <c r="M405" s="630"/>
      <c r="N405" s="630"/>
      <c r="O405" s="630"/>
      <c r="P405" s="630"/>
      <c r="Q405" s="627">
        <v>-12299924.35</v>
      </c>
      <c r="R405" s="627"/>
      <c r="T405" s="631">
        <v>0</v>
      </c>
      <c r="U405" s="631"/>
      <c r="V405" s="631"/>
      <c r="Y405" s="631">
        <v>0</v>
      </c>
      <c r="Z405" s="631"/>
      <c r="AA405" s="631"/>
      <c r="AB405" s="631"/>
      <c r="AC405" s="631"/>
      <c r="AD405" s="631"/>
      <c r="AF405" s="627">
        <v>-12299924.35</v>
      </c>
      <c r="AG405" s="627"/>
      <c r="AH405" s="627"/>
      <c r="AI405" s="627"/>
      <c r="AJ405" s="627"/>
      <c r="AK405" s="627"/>
      <c r="AL405" s="627"/>
    </row>
    <row r="406" spans="1:38" ht="11.1" customHeight="1" x14ac:dyDescent="0.25">
      <c r="A406" s="630" t="s">
        <v>3725</v>
      </c>
      <c r="B406" s="630"/>
      <c r="C406" s="630"/>
      <c r="L406" s="630" t="s">
        <v>591</v>
      </c>
      <c r="M406" s="630"/>
      <c r="N406" s="630"/>
      <c r="O406" s="630"/>
      <c r="P406" s="630"/>
      <c r="Q406" s="627">
        <v>-12299924.35</v>
      </c>
      <c r="R406" s="627"/>
      <c r="T406" s="631">
        <v>0</v>
      </c>
      <c r="U406" s="631"/>
      <c r="V406" s="631"/>
      <c r="Y406" s="631">
        <v>0</v>
      </c>
      <c r="Z406" s="631"/>
      <c r="AA406" s="631"/>
      <c r="AB406" s="631"/>
      <c r="AC406" s="631"/>
      <c r="AD406" s="631"/>
      <c r="AF406" s="627">
        <v>-12299924.35</v>
      </c>
      <c r="AG406" s="627"/>
      <c r="AH406" s="627"/>
      <c r="AI406" s="627"/>
      <c r="AJ406" s="627"/>
      <c r="AK406" s="627"/>
      <c r="AL406" s="627"/>
    </row>
    <row r="407" spans="1:38" ht="11.1" customHeight="1" x14ac:dyDescent="0.25">
      <c r="A407" s="630" t="s">
        <v>3726</v>
      </c>
      <c r="B407" s="630"/>
      <c r="C407" s="630"/>
      <c r="M407" s="630" t="s">
        <v>768</v>
      </c>
      <c r="N407" s="630"/>
      <c r="O407" s="630"/>
      <c r="P407" s="630"/>
      <c r="Q407" s="627">
        <v>-12299924.35</v>
      </c>
      <c r="R407" s="627"/>
      <c r="T407" s="631">
        <v>0</v>
      </c>
      <c r="U407" s="631"/>
      <c r="V407" s="631"/>
      <c r="Y407" s="631">
        <v>0</v>
      </c>
      <c r="Z407" s="631"/>
      <c r="AA407" s="631"/>
      <c r="AB407" s="631"/>
      <c r="AC407" s="631"/>
      <c r="AD407" s="631"/>
      <c r="AF407" s="627">
        <v>-12299924.35</v>
      </c>
      <c r="AG407" s="627"/>
      <c r="AH407" s="627"/>
      <c r="AI407" s="627"/>
      <c r="AJ407" s="627"/>
      <c r="AK407" s="627"/>
      <c r="AL407" s="627"/>
    </row>
    <row r="408" spans="1:38" ht="11.1" customHeight="1" x14ac:dyDescent="0.25">
      <c r="A408" s="630" t="s">
        <v>3727</v>
      </c>
      <c r="B408" s="630"/>
      <c r="C408" s="630"/>
      <c r="K408" s="630" t="s">
        <v>772</v>
      </c>
      <c r="L408" s="630"/>
      <c r="M408" s="630"/>
      <c r="N408" s="630"/>
      <c r="O408" s="630"/>
      <c r="P408" s="630"/>
      <c r="Q408" s="627">
        <v>-5040.78</v>
      </c>
      <c r="R408" s="627"/>
      <c r="T408" s="631">
        <v>0</v>
      </c>
      <c r="U408" s="631"/>
      <c r="V408" s="631"/>
      <c r="Y408" s="631">
        <v>0</v>
      </c>
      <c r="Z408" s="631"/>
      <c r="AA408" s="631"/>
      <c r="AB408" s="631"/>
      <c r="AC408" s="631"/>
      <c r="AD408" s="631"/>
      <c r="AF408" s="627">
        <v>-5040.78</v>
      </c>
      <c r="AG408" s="627"/>
      <c r="AH408" s="627"/>
      <c r="AI408" s="627"/>
      <c r="AJ408" s="627"/>
      <c r="AK408" s="627"/>
      <c r="AL408" s="627"/>
    </row>
    <row r="409" spans="1:38" ht="11.1" customHeight="1" x14ac:dyDescent="0.25">
      <c r="A409" s="630" t="s">
        <v>3728</v>
      </c>
      <c r="B409" s="630"/>
      <c r="C409" s="630"/>
      <c r="L409" s="630" t="s">
        <v>591</v>
      </c>
      <c r="M409" s="630"/>
      <c r="N409" s="630"/>
      <c r="O409" s="630"/>
      <c r="P409" s="630"/>
      <c r="Q409" s="627">
        <v>-5040.78</v>
      </c>
      <c r="R409" s="627"/>
      <c r="T409" s="631">
        <v>0</v>
      </c>
      <c r="U409" s="631"/>
      <c r="V409" s="631"/>
      <c r="Y409" s="631">
        <v>0</v>
      </c>
      <c r="Z409" s="631"/>
      <c r="AA409" s="631"/>
      <c r="AB409" s="631"/>
      <c r="AC409" s="631"/>
      <c r="AD409" s="631"/>
      <c r="AF409" s="627">
        <v>-5040.78</v>
      </c>
      <c r="AG409" s="627"/>
      <c r="AH409" s="627"/>
      <c r="AI409" s="627"/>
      <c r="AJ409" s="627"/>
      <c r="AK409" s="627"/>
      <c r="AL409" s="627"/>
    </row>
    <row r="410" spans="1:38" ht="11.1" customHeight="1" x14ac:dyDescent="0.25">
      <c r="A410" s="630" t="s">
        <v>3729</v>
      </c>
      <c r="B410" s="630"/>
      <c r="C410" s="630"/>
      <c r="M410" s="630" t="s">
        <v>775</v>
      </c>
      <c r="N410" s="630"/>
      <c r="O410" s="630"/>
      <c r="P410" s="630"/>
      <c r="Q410" s="627">
        <v>-5040.78</v>
      </c>
      <c r="R410" s="627"/>
      <c r="T410" s="631">
        <v>0</v>
      </c>
      <c r="U410" s="631"/>
      <c r="V410" s="631"/>
      <c r="Y410" s="631">
        <v>0</v>
      </c>
      <c r="Z410" s="631"/>
      <c r="AA410" s="631"/>
      <c r="AB410" s="631"/>
      <c r="AC410" s="631"/>
      <c r="AD410" s="631"/>
      <c r="AF410" s="627">
        <v>-5040.78</v>
      </c>
      <c r="AG410" s="627"/>
      <c r="AH410" s="627"/>
      <c r="AI410" s="627"/>
      <c r="AJ410" s="627"/>
      <c r="AK410" s="627"/>
      <c r="AL410" s="627"/>
    </row>
    <row r="411" spans="1:38" ht="11.1" customHeight="1" x14ac:dyDescent="0.25">
      <c r="A411" s="632" t="s">
        <v>3730</v>
      </c>
      <c r="B411" s="632"/>
      <c r="C411" s="632"/>
      <c r="J411" s="632" t="s">
        <v>777</v>
      </c>
      <c r="K411" s="632"/>
      <c r="L411" s="632"/>
      <c r="M411" s="632"/>
      <c r="N411" s="632"/>
      <c r="O411" s="632"/>
      <c r="P411" s="632"/>
      <c r="Q411" s="633">
        <v>7435617.4000000004</v>
      </c>
      <c r="R411" s="633"/>
      <c r="T411" s="634">
        <v>77542.75</v>
      </c>
      <c r="U411" s="634"/>
      <c r="V411" s="634"/>
      <c r="Y411" s="634">
        <v>0</v>
      </c>
      <c r="Z411" s="634"/>
      <c r="AA411" s="634"/>
      <c r="AB411" s="634"/>
      <c r="AC411" s="634"/>
      <c r="AD411" s="634"/>
      <c r="AF411" s="633">
        <v>7513160.1500000004</v>
      </c>
      <c r="AG411" s="633"/>
      <c r="AH411" s="633"/>
      <c r="AI411" s="633"/>
      <c r="AJ411" s="633"/>
      <c r="AK411" s="633"/>
      <c r="AL411" s="633"/>
    </row>
    <row r="412" spans="1:38" ht="11.1" customHeight="1" x14ac:dyDescent="0.25">
      <c r="A412" s="630" t="s">
        <v>3731</v>
      </c>
      <c r="B412" s="630"/>
      <c r="C412" s="630"/>
      <c r="K412" s="630" t="s">
        <v>595</v>
      </c>
      <c r="L412" s="630"/>
      <c r="M412" s="630"/>
      <c r="N412" s="630"/>
      <c r="O412" s="630"/>
      <c r="P412" s="630"/>
      <c r="Q412" s="627">
        <v>3061219.49</v>
      </c>
      <c r="R412" s="627"/>
      <c r="T412" s="631">
        <v>31808.69</v>
      </c>
      <c r="U412" s="631"/>
      <c r="V412" s="631"/>
      <c r="Y412" s="631">
        <v>0</v>
      </c>
      <c r="Z412" s="631"/>
      <c r="AA412" s="631"/>
      <c r="AB412" s="631"/>
      <c r="AC412" s="631"/>
      <c r="AD412" s="631"/>
      <c r="AF412" s="627">
        <v>3093028.18</v>
      </c>
      <c r="AG412" s="627"/>
      <c r="AH412" s="627"/>
      <c r="AI412" s="627"/>
      <c r="AJ412" s="627"/>
      <c r="AK412" s="627"/>
      <c r="AL412" s="627"/>
    </row>
    <row r="413" spans="1:38" ht="11.1" customHeight="1" x14ac:dyDescent="0.25">
      <c r="A413" s="630" t="s">
        <v>3732</v>
      </c>
      <c r="B413" s="630"/>
      <c r="C413" s="630"/>
      <c r="L413" s="630" t="s">
        <v>591</v>
      </c>
      <c r="M413" s="630"/>
      <c r="N413" s="630"/>
      <c r="O413" s="630"/>
      <c r="P413" s="630"/>
      <c r="Q413" s="627">
        <v>3061219.49</v>
      </c>
      <c r="R413" s="627"/>
      <c r="T413" s="631">
        <v>31808.69</v>
      </c>
      <c r="U413" s="631"/>
      <c r="V413" s="631"/>
      <c r="Y413" s="631">
        <v>0</v>
      </c>
      <c r="Z413" s="631"/>
      <c r="AA413" s="631"/>
      <c r="AB413" s="631"/>
      <c r="AC413" s="631"/>
      <c r="AD413" s="631"/>
      <c r="AF413" s="627">
        <v>3093028.18</v>
      </c>
      <c r="AG413" s="627"/>
      <c r="AH413" s="627"/>
      <c r="AI413" s="627"/>
      <c r="AJ413" s="627"/>
      <c r="AK413" s="627"/>
      <c r="AL413" s="627"/>
    </row>
    <row r="414" spans="1:38" ht="11.1" customHeight="1" x14ac:dyDescent="0.25">
      <c r="A414" s="630" t="s">
        <v>3733</v>
      </c>
      <c r="B414" s="630"/>
      <c r="C414" s="630"/>
      <c r="M414" s="630" t="s">
        <v>781</v>
      </c>
      <c r="N414" s="630"/>
      <c r="O414" s="630"/>
      <c r="P414" s="630"/>
      <c r="Q414" s="627">
        <v>3061219.49</v>
      </c>
      <c r="R414" s="627"/>
      <c r="T414" s="631">
        <v>31808.69</v>
      </c>
      <c r="U414" s="631"/>
      <c r="V414" s="631"/>
      <c r="Y414" s="631">
        <v>0</v>
      </c>
      <c r="Z414" s="631"/>
      <c r="AA414" s="631"/>
      <c r="AB414" s="631"/>
      <c r="AC414" s="631"/>
      <c r="AD414" s="631"/>
      <c r="AF414" s="627">
        <v>3093028.18</v>
      </c>
      <c r="AG414" s="627"/>
      <c r="AH414" s="627"/>
      <c r="AI414" s="627"/>
      <c r="AJ414" s="627"/>
      <c r="AK414" s="627"/>
      <c r="AL414" s="627"/>
    </row>
    <row r="415" spans="1:38" ht="11.1" customHeight="1" x14ac:dyDescent="0.25">
      <c r="A415" s="630" t="s">
        <v>3734</v>
      </c>
      <c r="B415" s="630"/>
      <c r="C415" s="630"/>
      <c r="K415" s="630" t="s">
        <v>568</v>
      </c>
      <c r="L415" s="630"/>
      <c r="M415" s="630"/>
      <c r="N415" s="630"/>
      <c r="O415" s="630"/>
      <c r="P415" s="630"/>
      <c r="Q415" s="627">
        <v>797553.49</v>
      </c>
      <c r="R415" s="627"/>
      <c r="T415" s="631">
        <v>8285.5400000000009</v>
      </c>
      <c r="U415" s="631"/>
      <c r="V415" s="631"/>
      <c r="Y415" s="631">
        <v>0</v>
      </c>
      <c r="Z415" s="631"/>
      <c r="AA415" s="631"/>
      <c r="AB415" s="631"/>
      <c r="AC415" s="631"/>
      <c r="AD415" s="631"/>
      <c r="AF415" s="627">
        <v>805839.03</v>
      </c>
      <c r="AG415" s="627"/>
      <c r="AH415" s="627"/>
      <c r="AI415" s="627"/>
      <c r="AJ415" s="627"/>
      <c r="AK415" s="627"/>
      <c r="AL415" s="627"/>
    </row>
    <row r="416" spans="1:38" ht="11.1" customHeight="1" x14ac:dyDescent="0.25">
      <c r="A416" s="630" t="s">
        <v>3735</v>
      </c>
      <c r="B416" s="630"/>
      <c r="C416" s="630"/>
      <c r="L416" s="630" t="s">
        <v>591</v>
      </c>
      <c r="M416" s="630"/>
      <c r="N416" s="630"/>
      <c r="O416" s="630"/>
      <c r="P416" s="630"/>
      <c r="Q416" s="627">
        <v>797553.49</v>
      </c>
      <c r="R416" s="627"/>
      <c r="T416" s="631">
        <v>8285.5400000000009</v>
      </c>
      <c r="U416" s="631"/>
      <c r="V416" s="631"/>
      <c r="Y416" s="631">
        <v>0</v>
      </c>
      <c r="Z416" s="631"/>
      <c r="AA416" s="631"/>
      <c r="AB416" s="631"/>
      <c r="AC416" s="631"/>
      <c r="AD416" s="631"/>
      <c r="AF416" s="627">
        <v>805839.03</v>
      </c>
      <c r="AG416" s="627"/>
      <c r="AH416" s="627"/>
      <c r="AI416" s="627"/>
      <c r="AJ416" s="627"/>
      <c r="AK416" s="627"/>
      <c r="AL416" s="627"/>
    </row>
    <row r="417" spans="1:38" ht="11.1" customHeight="1" x14ac:dyDescent="0.25">
      <c r="A417" s="630" t="s">
        <v>3736</v>
      </c>
      <c r="B417" s="630"/>
      <c r="C417" s="630"/>
      <c r="M417" s="630" t="s">
        <v>785</v>
      </c>
      <c r="N417" s="630"/>
      <c r="O417" s="630"/>
      <c r="P417" s="630"/>
      <c r="Q417" s="627">
        <v>797553.49</v>
      </c>
      <c r="R417" s="627"/>
      <c r="T417" s="631">
        <v>8285.5400000000009</v>
      </c>
      <c r="U417" s="631"/>
      <c r="V417" s="631"/>
      <c r="Y417" s="631">
        <v>0</v>
      </c>
      <c r="Z417" s="631"/>
      <c r="AA417" s="631"/>
      <c r="AB417" s="631"/>
      <c r="AC417" s="631"/>
      <c r="AD417" s="631"/>
      <c r="AF417" s="627">
        <v>805839.03</v>
      </c>
      <c r="AG417" s="627"/>
      <c r="AH417" s="627"/>
      <c r="AI417" s="627"/>
      <c r="AJ417" s="627"/>
      <c r="AK417" s="627"/>
      <c r="AL417" s="627"/>
    </row>
    <row r="418" spans="1:38" ht="11.1" customHeight="1" x14ac:dyDescent="0.25">
      <c r="A418" s="630" t="s">
        <v>3737</v>
      </c>
      <c r="B418" s="630"/>
      <c r="C418" s="630"/>
      <c r="K418" s="630" t="s">
        <v>616</v>
      </c>
      <c r="L418" s="630"/>
      <c r="M418" s="630"/>
      <c r="N418" s="630"/>
      <c r="O418" s="630"/>
      <c r="P418" s="630"/>
      <c r="Q418" s="627">
        <v>3570160.03</v>
      </c>
      <c r="R418" s="627"/>
      <c r="T418" s="631">
        <v>37342.89</v>
      </c>
      <c r="U418" s="631"/>
      <c r="V418" s="631"/>
      <c r="Y418" s="631">
        <v>0</v>
      </c>
      <c r="Z418" s="631"/>
      <c r="AA418" s="631"/>
      <c r="AB418" s="631"/>
      <c r="AC418" s="631"/>
      <c r="AD418" s="631"/>
      <c r="AF418" s="627">
        <v>3607502.92</v>
      </c>
      <c r="AG418" s="627"/>
      <c r="AH418" s="627"/>
      <c r="AI418" s="627"/>
      <c r="AJ418" s="627"/>
      <c r="AK418" s="627"/>
      <c r="AL418" s="627"/>
    </row>
    <row r="419" spans="1:38" ht="11.1" customHeight="1" x14ac:dyDescent="0.25">
      <c r="A419" s="630" t="s">
        <v>3738</v>
      </c>
      <c r="B419" s="630"/>
      <c r="C419" s="630"/>
      <c r="L419" s="630" t="s">
        <v>591</v>
      </c>
      <c r="M419" s="630"/>
      <c r="N419" s="630"/>
      <c r="O419" s="630"/>
      <c r="P419" s="630"/>
      <c r="Q419" s="627">
        <v>3570160.03</v>
      </c>
      <c r="R419" s="627"/>
      <c r="T419" s="631">
        <v>37342.89</v>
      </c>
      <c r="U419" s="631"/>
      <c r="V419" s="631"/>
      <c r="Y419" s="631">
        <v>0</v>
      </c>
      <c r="Z419" s="631"/>
      <c r="AA419" s="631"/>
      <c r="AB419" s="631"/>
      <c r="AC419" s="631"/>
      <c r="AD419" s="631"/>
      <c r="AF419" s="627">
        <v>3607502.92</v>
      </c>
      <c r="AG419" s="627"/>
      <c r="AH419" s="627"/>
      <c r="AI419" s="627"/>
      <c r="AJ419" s="627"/>
      <c r="AK419" s="627"/>
      <c r="AL419" s="627"/>
    </row>
    <row r="420" spans="1:38" ht="11.1" customHeight="1" x14ac:dyDescent="0.25">
      <c r="A420" s="630" t="s">
        <v>3739</v>
      </c>
      <c r="B420" s="630"/>
      <c r="C420" s="630"/>
      <c r="M420" s="630" t="s">
        <v>616</v>
      </c>
      <c r="N420" s="630"/>
      <c r="O420" s="630"/>
      <c r="P420" s="630"/>
      <c r="Q420" s="627">
        <v>3570160.03</v>
      </c>
      <c r="R420" s="627"/>
      <c r="T420" s="631">
        <v>37342.89</v>
      </c>
      <c r="U420" s="631"/>
      <c r="V420" s="631"/>
      <c r="Y420" s="631">
        <v>0</v>
      </c>
      <c r="Z420" s="631"/>
      <c r="AA420" s="631"/>
      <c r="AB420" s="631"/>
      <c r="AC420" s="631"/>
      <c r="AD420" s="631"/>
      <c r="AF420" s="627">
        <v>3607502.92</v>
      </c>
      <c r="AG420" s="627"/>
      <c r="AH420" s="627"/>
      <c r="AI420" s="627"/>
      <c r="AJ420" s="627"/>
      <c r="AK420" s="627"/>
      <c r="AL420" s="627"/>
    </row>
    <row r="421" spans="1:38" ht="11.1" customHeight="1" x14ac:dyDescent="0.25">
      <c r="A421" s="630" t="s">
        <v>3740</v>
      </c>
      <c r="B421" s="630"/>
      <c r="C421" s="630"/>
      <c r="K421" s="630" t="s">
        <v>632</v>
      </c>
      <c r="L421" s="630"/>
      <c r="M421" s="630"/>
      <c r="N421" s="630"/>
      <c r="O421" s="630"/>
      <c r="P421" s="630"/>
      <c r="Q421" s="627">
        <v>6684.39</v>
      </c>
      <c r="R421" s="627"/>
      <c r="T421" s="631">
        <v>105.63</v>
      </c>
      <c r="U421" s="631"/>
      <c r="V421" s="631"/>
      <c r="Y421" s="631">
        <v>0</v>
      </c>
      <c r="Z421" s="631"/>
      <c r="AA421" s="631"/>
      <c r="AB421" s="631"/>
      <c r="AC421" s="631"/>
      <c r="AD421" s="631"/>
      <c r="AF421" s="627">
        <v>6790.02</v>
      </c>
      <c r="AG421" s="627"/>
      <c r="AH421" s="627"/>
      <c r="AI421" s="627"/>
      <c r="AJ421" s="627"/>
      <c r="AK421" s="627"/>
      <c r="AL421" s="627"/>
    </row>
    <row r="422" spans="1:38" ht="11.1" customHeight="1" x14ac:dyDescent="0.25">
      <c r="A422" s="630" t="s">
        <v>3741</v>
      </c>
      <c r="B422" s="630"/>
      <c r="C422" s="630"/>
      <c r="L422" s="630" t="s">
        <v>591</v>
      </c>
      <c r="M422" s="630"/>
      <c r="N422" s="630"/>
      <c r="O422" s="630"/>
      <c r="P422" s="630"/>
      <c r="Q422" s="627">
        <v>6684.39</v>
      </c>
      <c r="R422" s="627"/>
      <c r="T422" s="631">
        <v>105.63</v>
      </c>
      <c r="U422" s="631"/>
      <c r="V422" s="631"/>
      <c r="Y422" s="631">
        <v>0</v>
      </c>
      <c r="Z422" s="631"/>
      <c r="AA422" s="631"/>
      <c r="AB422" s="631"/>
      <c r="AC422" s="631"/>
      <c r="AD422" s="631"/>
      <c r="AF422" s="627">
        <v>6790.02</v>
      </c>
      <c r="AG422" s="627"/>
      <c r="AH422" s="627"/>
      <c r="AI422" s="627"/>
      <c r="AJ422" s="627"/>
      <c r="AK422" s="627"/>
      <c r="AL422" s="627"/>
    </row>
    <row r="423" spans="1:38" ht="11.1" customHeight="1" x14ac:dyDescent="0.25">
      <c r="A423" s="630" t="s">
        <v>3742</v>
      </c>
      <c r="B423" s="630"/>
      <c r="C423" s="630"/>
      <c r="M423" s="630" t="s">
        <v>632</v>
      </c>
      <c r="N423" s="630"/>
      <c r="O423" s="630"/>
      <c r="P423" s="630"/>
      <c r="Q423" s="627">
        <v>6684.39</v>
      </c>
      <c r="R423" s="627"/>
      <c r="T423" s="631">
        <v>105.63</v>
      </c>
      <c r="U423" s="631"/>
      <c r="V423" s="631"/>
      <c r="Y423" s="631">
        <v>0</v>
      </c>
      <c r="Z423" s="631"/>
      <c r="AA423" s="631"/>
      <c r="AB423" s="631"/>
      <c r="AC423" s="631"/>
      <c r="AD423" s="631"/>
      <c r="AF423" s="627">
        <v>6790.02</v>
      </c>
      <c r="AG423" s="627"/>
      <c r="AH423" s="627"/>
      <c r="AI423" s="627"/>
      <c r="AJ423" s="627"/>
      <c r="AK423" s="627"/>
      <c r="AL423" s="627"/>
    </row>
    <row r="424" spans="1:38" ht="11.1" customHeight="1" x14ac:dyDescent="0.25">
      <c r="A424" s="632" t="s">
        <v>3743</v>
      </c>
      <c r="B424" s="632"/>
      <c r="C424" s="632"/>
      <c r="I424" s="632" t="s">
        <v>793</v>
      </c>
      <c r="J424" s="632"/>
      <c r="K424" s="632"/>
      <c r="L424" s="632"/>
      <c r="M424" s="632"/>
      <c r="N424" s="632"/>
      <c r="O424" s="632"/>
      <c r="P424" s="632"/>
      <c r="Q424" s="633">
        <v>716821.58</v>
      </c>
      <c r="R424" s="633"/>
      <c r="T424" s="634">
        <v>0</v>
      </c>
      <c r="U424" s="634"/>
      <c r="V424" s="634"/>
      <c r="Y424" s="634">
        <v>7799.93</v>
      </c>
      <c r="Z424" s="634"/>
      <c r="AA424" s="634"/>
      <c r="AB424" s="634"/>
      <c r="AC424" s="634"/>
      <c r="AD424" s="634"/>
      <c r="AF424" s="633">
        <v>709021.65</v>
      </c>
      <c r="AG424" s="633"/>
      <c r="AH424" s="633"/>
      <c r="AI424" s="633"/>
      <c r="AJ424" s="633"/>
      <c r="AK424" s="633"/>
      <c r="AL424" s="633"/>
    </row>
    <row r="425" spans="1:38" ht="11.1" customHeight="1" x14ac:dyDescent="0.25">
      <c r="A425" s="632" t="s">
        <v>3744</v>
      </c>
      <c r="B425" s="632"/>
      <c r="C425" s="632"/>
      <c r="J425" s="632" t="s">
        <v>795</v>
      </c>
      <c r="K425" s="632"/>
      <c r="L425" s="632"/>
      <c r="M425" s="632"/>
      <c r="N425" s="632"/>
      <c r="O425" s="632"/>
      <c r="P425" s="632"/>
      <c r="Q425" s="633">
        <v>1276332.3799999999</v>
      </c>
      <c r="R425" s="633"/>
      <c r="T425" s="634">
        <v>0</v>
      </c>
      <c r="U425" s="634"/>
      <c r="V425" s="634"/>
      <c r="Y425" s="634">
        <v>0</v>
      </c>
      <c r="Z425" s="634"/>
      <c r="AA425" s="634"/>
      <c r="AB425" s="634"/>
      <c r="AC425" s="634"/>
      <c r="AD425" s="634"/>
      <c r="AF425" s="633">
        <v>1276332.3799999999</v>
      </c>
      <c r="AG425" s="633"/>
      <c r="AH425" s="633"/>
      <c r="AI425" s="633"/>
      <c r="AJ425" s="633"/>
      <c r="AK425" s="633"/>
      <c r="AL425" s="633"/>
    </row>
    <row r="426" spans="1:38" ht="11.1" customHeight="1" x14ac:dyDescent="0.25">
      <c r="A426" s="630" t="s">
        <v>3745</v>
      </c>
      <c r="B426" s="630"/>
      <c r="C426" s="630"/>
      <c r="K426" s="630" t="s">
        <v>616</v>
      </c>
      <c r="L426" s="630"/>
      <c r="M426" s="630"/>
      <c r="N426" s="630"/>
      <c r="O426" s="630"/>
      <c r="P426" s="630"/>
      <c r="Q426" s="627">
        <v>713627.82</v>
      </c>
      <c r="R426" s="627"/>
      <c r="T426" s="631">
        <v>0</v>
      </c>
      <c r="U426" s="631"/>
      <c r="V426" s="631"/>
      <c r="Y426" s="631">
        <v>0</v>
      </c>
      <c r="Z426" s="631"/>
      <c r="AA426" s="631"/>
      <c r="AB426" s="631"/>
      <c r="AC426" s="631"/>
      <c r="AD426" s="631"/>
      <c r="AF426" s="627">
        <v>713627.82</v>
      </c>
      <c r="AG426" s="627"/>
      <c r="AH426" s="627"/>
      <c r="AI426" s="627"/>
      <c r="AJ426" s="627"/>
      <c r="AK426" s="627"/>
      <c r="AL426" s="627"/>
    </row>
    <row r="427" spans="1:38" ht="11.1" customHeight="1" x14ac:dyDescent="0.25">
      <c r="A427" s="630" t="s">
        <v>3746</v>
      </c>
      <c r="B427" s="630"/>
      <c r="C427" s="630"/>
      <c r="L427" s="630" t="s">
        <v>335</v>
      </c>
      <c r="M427" s="630"/>
      <c r="N427" s="630"/>
      <c r="O427" s="630"/>
      <c r="P427" s="630"/>
      <c r="Q427" s="627">
        <v>713627.82</v>
      </c>
      <c r="R427" s="627"/>
      <c r="T427" s="631">
        <v>0</v>
      </c>
      <c r="U427" s="631"/>
      <c r="V427" s="631"/>
      <c r="Y427" s="631">
        <v>0</v>
      </c>
      <c r="Z427" s="631"/>
      <c r="AA427" s="631"/>
      <c r="AB427" s="631"/>
      <c r="AC427" s="631"/>
      <c r="AD427" s="631"/>
      <c r="AF427" s="627">
        <v>713627.82</v>
      </c>
      <c r="AG427" s="627"/>
      <c r="AH427" s="627"/>
      <c r="AI427" s="627"/>
      <c r="AJ427" s="627"/>
      <c r="AK427" s="627"/>
      <c r="AL427" s="627"/>
    </row>
    <row r="428" spans="1:38" ht="11.1" customHeight="1" x14ac:dyDescent="0.25">
      <c r="A428" s="630" t="s">
        <v>3747</v>
      </c>
      <c r="B428" s="630"/>
      <c r="C428" s="630"/>
      <c r="M428" s="630" t="s">
        <v>616</v>
      </c>
      <c r="N428" s="630"/>
      <c r="O428" s="630"/>
      <c r="P428" s="630"/>
      <c r="Q428" s="627">
        <v>310528.53999999998</v>
      </c>
      <c r="R428" s="627"/>
      <c r="T428" s="631">
        <v>0</v>
      </c>
      <c r="U428" s="631"/>
      <c r="V428" s="631"/>
      <c r="Y428" s="631">
        <v>0</v>
      </c>
      <c r="Z428" s="631"/>
      <c r="AA428" s="631"/>
      <c r="AB428" s="631"/>
      <c r="AC428" s="631"/>
      <c r="AD428" s="631"/>
      <c r="AF428" s="627">
        <v>310528.53999999998</v>
      </c>
      <c r="AG428" s="627"/>
      <c r="AH428" s="627"/>
      <c r="AI428" s="627"/>
      <c r="AJ428" s="627"/>
      <c r="AK428" s="627"/>
      <c r="AL428" s="627"/>
    </row>
    <row r="429" spans="1:38" ht="11.1" customHeight="1" x14ac:dyDescent="0.25">
      <c r="A429" s="630" t="s">
        <v>3748</v>
      </c>
      <c r="B429" s="630"/>
      <c r="C429" s="630"/>
      <c r="M429" s="630" t="s">
        <v>800</v>
      </c>
      <c r="N429" s="630"/>
      <c r="O429" s="630"/>
      <c r="P429" s="630"/>
      <c r="Q429" s="627">
        <v>344501.54</v>
      </c>
      <c r="R429" s="627"/>
      <c r="T429" s="631">
        <v>0</v>
      </c>
      <c r="U429" s="631"/>
      <c r="V429" s="631"/>
      <c r="Y429" s="631">
        <v>0</v>
      </c>
      <c r="Z429" s="631"/>
      <c r="AA429" s="631"/>
      <c r="AB429" s="631"/>
      <c r="AC429" s="631"/>
      <c r="AD429" s="631"/>
      <c r="AF429" s="627">
        <v>344501.54</v>
      </c>
      <c r="AG429" s="627"/>
      <c r="AH429" s="627"/>
      <c r="AI429" s="627"/>
      <c r="AJ429" s="627"/>
      <c r="AK429" s="627"/>
      <c r="AL429" s="627"/>
    </row>
    <row r="430" spans="1:38" ht="11.1" customHeight="1" x14ac:dyDescent="0.25">
      <c r="A430" s="630" t="s">
        <v>3749</v>
      </c>
      <c r="B430" s="630"/>
      <c r="C430" s="630"/>
      <c r="M430" s="630" t="s">
        <v>802</v>
      </c>
      <c r="N430" s="630"/>
      <c r="O430" s="630"/>
      <c r="P430" s="630"/>
      <c r="Q430" s="627">
        <v>7698.77</v>
      </c>
      <c r="R430" s="627"/>
      <c r="T430" s="631">
        <v>0</v>
      </c>
      <c r="U430" s="631"/>
      <c r="V430" s="631"/>
      <c r="Y430" s="631">
        <v>0</v>
      </c>
      <c r="Z430" s="631"/>
      <c r="AA430" s="631"/>
      <c r="AB430" s="631"/>
      <c r="AC430" s="631"/>
      <c r="AD430" s="631"/>
      <c r="AF430" s="627">
        <v>7698.77</v>
      </c>
      <c r="AG430" s="627"/>
      <c r="AH430" s="627"/>
      <c r="AI430" s="627"/>
      <c r="AJ430" s="627"/>
      <c r="AK430" s="627"/>
      <c r="AL430" s="627"/>
    </row>
    <row r="431" spans="1:38" ht="11.1" customHeight="1" x14ac:dyDescent="0.25">
      <c r="A431" s="630" t="s">
        <v>3750</v>
      </c>
      <c r="B431" s="630"/>
      <c r="C431" s="630"/>
      <c r="M431" s="630" t="s">
        <v>804</v>
      </c>
      <c r="N431" s="630"/>
      <c r="O431" s="630"/>
      <c r="P431" s="630"/>
      <c r="Q431" s="627">
        <v>8890</v>
      </c>
      <c r="R431" s="627"/>
      <c r="T431" s="631">
        <v>0</v>
      </c>
      <c r="U431" s="631"/>
      <c r="V431" s="631"/>
      <c r="Y431" s="631">
        <v>0</v>
      </c>
      <c r="Z431" s="631"/>
      <c r="AA431" s="631"/>
      <c r="AB431" s="631"/>
      <c r="AC431" s="631"/>
      <c r="AD431" s="631"/>
      <c r="AF431" s="627">
        <v>8890</v>
      </c>
      <c r="AG431" s="627"/>
      <c r="AH431" s="627"/>
      <c r="AI431" s="627"/>
      <c r="AJ431" s="627"/>
      <c r="AK431" s="627"/>
      <c r="AL431" s="627"/>
    </row>
    <row r="432" spans="1:38" ht="11.1" customHeight="1" x14ac:dyDescent="0.25">
      <c r="A432" s="630" t="s">
        <v>3751</v>
      </c>
      <c r="B432" s="630"/>
      <c r="C432" s="630"/>
      <c r="M432" s="630" t="s">
        <v>806</v>
      </c>
      <c r="N432" s="630"/>
      <c r="O432" s="630"/>
      <c r="P432" s="630"/>
      <c r="Q432" s="627">
        <v>17904.98</v>
      </c>
      <c r="R432" s="627"/>
      <c r="T432" s="631">
        <v>0</v>
      </c>
      <c r="U432" s="631"/>
      <c r="V432" s="631"/>
      <c r="Y432" s="631">
        <v>0</v>
      </c>
      <c r="Z432" s="631"/>
      <c r="AA432" s="631"/>
      <c r="AB432" s="631"/>
      <c r="AC432" s="631"/>
      <c r="AD432" s="631"/>
      <c r="AF432" s="627">
        <v>17904.98</v>
      </c>
      <c r="AG432" s="627"/>
      <c r="AH432" s="627"/>
      <c r="AI432" s="627"/>
      <c r="AJ432" s="627"/>
      <c r="AK432" s="627"/>
      <c r="AL432" s="627"/>
    </row>
    <row r="433" spans="1:38" ht="11.1" customHeight="1" x14ac:dyDescent="0.25">
      <c r="A433" s="630" t="s">
        <v>3752</v>
      </c>
      <c r="B433" s="630"/>
      <c r="C433" s="630"/>
      <c r="M433" s="630" t="s">
        <v>2432</v>
      </c>
      <c r="N433" s="630"/>
      <c r="O433" s="630"/>
      <c r="P433" s="630"/>
      <c r="Q433" s="627">
        <v>24103.99</v>
      </c>
      <c r="R433" s="627"/>
      <c r="T433" s="631">
        <v>0</v>
      </c>
      <c r="U433" s="631"/>
      <c r="V433" s="631"/>
      <c r="Y433" s="631">
        <v>0</v>
      </c>
      <c r="Z433" s="631"/>
      <c r="AA433" s="631"/>
      <c r="AB433" s="631"/>
      <c r="AC433" s="631"/>
      <c r="AD433" s="631"/>
      <c r="AF433" s="627">
        <v>24103.99</v>
      </c>
      <c r="AG433" s="627"/>
      <c r="AH433" s="627"/>
      <c r="AI433" s="627"/>
      <c r="AJ433" s="627"/>
      <c r="AK433" s="627"/>
      <c r="AL433" s="627"/>
    </row>
    <row r="434" spans="1:38" ht="11.1" customHeight="1" x14ac:dyDescent="0.25">
      <c r="A434" s="630" t="s">
        <v>3753</v>
      </c>
      <c r="B434" s="630"/>
      <c r="C434" s="630"/>
      <c r="K434" s="630" t="s">
        <v>626</v>
      </c>
      <c r="L434" s="630"/>
      <c r="M434" s="630"/>
      <c r="N434" s="630"/>
      <c r="O434" s="630"/>
      <c r="P434" s="630"/>
      <c r="Q434" s="627">
        <v>322895.78000000003</v>
      </c>
      <c r="R434" s="627"/>
      <c r="T434" s="631">
        <v>0</v>
      </c>
      <c r="U434" s="631"/>
      <c r="V434" s="631"/>
      <c r="Y434" s="631">
        <v>0</v>
      </c>
      <c r="Z434" s="631"/>
      <c r="AA434" s="631"/>
      <c r="AB434" s="631"/>
      <c r="AC434" s="631"/>
      <c r="AD434" s="631"/>
      <c r="AF434" s="627">
        <v>322895.78000000003</v>
      </c>
      <c r="AG434" s="627"/>
      <c r="AH434" s="627"/>
      <c r="AI434" s="627"/>
      <c r="AJ434" s="627"/>
      <c r="AK434" s="627"/>
      <c r="AL434" s="627"/>
    </row>
    <row r="435" spans="1:38" ht="11.1" customHeight="1" x14ac:dyDescent="0.25">
      <c r="A435" s="630" t="s">
        <v>3754</v>
      </c>
      <c r="B435" s="630"/>
      <c r="C435" s="630"/>
      <c r="L435" s="630" t="s">
        <v>335</v>
      </c>
      <c r="M435" s="630"/>
      <c r="N435" s="630"/>
      <c r="O435" s="630"/>
      <c r="P435" s="630"/>
      <c r="Q435" s="627">
        <v>322895.78000000003</v>
      </c>
      <c r="R435" s="627"/>
      <c r="T435" s="631">
        <v>0</v>
      </c>
      <c r="U435" s="631"/>
      <c r="V435" s="631"/>
      <c r="Y435" s="631">
        <v>0</v>
      </c>
      <c r="Z435" s="631"/>
      <c r="AA435" s="631"/>
      <c r="AB435" s="631"/>
      <c r="AC435" s="631"/>
      <c r="AD435" s="631"/>
      <c r="AF435" s="627">
        <v>322895.78000000003</v>
      </c>
      <c r="AG435" s="627"/>
      <c r="AH435" s="627"/>
      <c r="AI435" s="627"/>
      <c r="AJ435" s="627"/>
      <c r="AK435" s="627"/>
      <c r="AL435" s="627"/>
    </row>
    <row r="436" spans="1:38" ht="11.1" customHeight="1" x14ac:dyDescent="0.25">
      <c r="A436" s="630" t="s">
        <v>3755</v>
      </c>
      <c r="B436" s="630"/>
      <c r="C436" s="630"/>
      <c r="M436" s="630" t="s">
        <v>626</v>
      </c>
      <c r="N436" s="630"/>
      <c r="O436" s="630"/>
      <c r="P436" s="630"/>
      <c r="Q436" s="627">
        <v>162113.56</v>
      </c>
      <c r="R436" s="627"/>
      <c r="T436" s="631">
        <v>0</v>
      </c>
      <c r="U436" s="631"/>
      <c r="V436" s="631"/>
      <c r="Y436" s="631">
        <v>0</v>
      </c>
      <c r="Z436" s="631"/>
      <c r="AA436" s="631"/>
      <c r="AB436" s="631"/>
      <c r="AC436" s="631"/>
      <c r="AD436" s="631"/>
      <c r="AF436" s="627">
        <v>162113.56</v>
      </c>
      <c r="AG436" s="627"/>
      <c r="AH436" s="627"/>
      <c r="AI436" s="627"/>
      <c r="AJ436" s="627"/>
      <c r="AK436" s="627"/>
      <c r="AL436" s="627"/>
    </row>
    <row r="437" spans="1:38" ht="11.1" customHeight="1" x14ac:dyDescent="0.25">
      <c r="A437" s="630" t="s">
        <v>3756</v>
      </c>
      <c r="B437" s="630"/>
      <c r="C437" s="630"/>
      <c r="M437" s="630" t="s">
        <v>2434</v>
      </c>
      <c r="N437" s="630"/>
      <c r="O437" s="630"/>
      <c r="P437" s="630"/>
      <c r="Q437" s="627">
        <v>160782.22</v>
      </c>
      <c r="R437" s="627"/>
      <c r="T437" s="631">
        <v>0</v>
      </c>
      <c r="U437" s="631"/>
      <c r="V437" s="631"/>
      <c r="Y437" s="631">
        <v>0</v>
      </c>
      <c r="Z437" s="631"/>
      <c r="AA437" s="631"/>
      <c r="AB437" s="631"/>
      <c r="AC437" s="631"/>
      <c r="AD437" s="631"/>
      <c r="AF437" s="627">
        <v>160782.22</v>
      </c>
      <c r="AG437" s="627"/>
      <c r="AH437" s="627"/>
      <c r="AI437" s="627"/>
      <c r="AJ437" s="627"/>
      <c r="AK437" s="627"/>
      <c r="AL437" s="627"/>
    </row>
    <row r="438" spans="1:38" ht="11.1" customHeight="1" x14ac:dyDescent="0.25">
      <c r="A438" s="630" t="s">
        <v>3757</v>
      </c>
      <c r="B438" s="630"/>
      <c r="C438" s="630"/>
      <c r="K438" s="630" t="s">
        <v>632</v>
      </c>
      <c r="L438" s="630"/>
      <c r="M438" s="630"/>
      <c r="N438" s="630"/>
      <c r="O438" s="630"/>
      <c r="P438" s="630"/>
      <c r="Q438" s="627">
        <v>239808.78</v>
      </c>
      <c r="R438" s="627"/>
      <c r="T438" s="631">
        <v>0</v>
      </c>
      <c r="U438" s="631"/>
      <c r="V438" s="631"/>
      <c r="Y438" s="631">
        <v>0</v>
      </c>
      <c r="Z438" s="631"/>
      <c r="AA438" s="631"/>
      <c r="AB438" s="631"/>
      <c r="AC438" s="631"/>
      <c r="AD438" s="631"/>
      <c r="AF438" s="627">
        <v>239808.78</v>
      </c>
      <c r="AG438" s="627"/>
      <c r="AH438" s="627"/>
      <c r="AI438" s="627"/>
      <c r="AJ438" s="627"/>
      <c r="AK438" s="627"/>
      <c r="AL438" s="627"/>
    </row>
    <row r="439" spans="1:38" ht="11.1" customHeight="1" x14ac:dyDescent="0.25">
      <c r="A439" s="630" t="s">
        <v>3758</v>
      </c>
      <c r="B439" s="630"/>
      <c r="C439" s="630"/>
      <c r="L439" s="630" t="s">
        <v>335</v>
      </c>
      <c r="M439" s="630"/>
      <c r="N439" s="630"/>
      <c r="O439" s="630"/>
      <c r="P439" s="630"/>
      <c r="Q439" s="627">
        <v>239808.78</v>
      </c>
      <c r="R439" s="627"/>
      <c r="T439" s="631">
        <v>0</v>
      </c>
      <c r="U439" s="631"/>
      <c r="V439" s="631"/>
      <c r="Y439" s="631">
        <v>0</v>
      </c>
      <c r="Z439" s="631"/>
      <c r="AA439" s="631"/>
      <c r="AB439" s="631"/>
      <c r="AC439" s="631"/>
      <c r="AD439" s="631"/>
      <c r="AF439" s="627">
        <v>239808.78</v>
      </c>
      <c r="AG439" s="627"/>
      <c r="AH439" s="627"/>
      <c r="AI439" s="627"/>
      <c r="AJ439" s="627"/>
      <c r="AK439" s="627"/>
      <c r="AL439" s="627"/>
    </row>
    <row r="440" spans="1:38" ht="11.1" customHeight="1" x14ac:dyDescent="0.25">
      <c r="A440" s="630" t="s">
        <v>3759</v>
      </c>
      <c r="B440" s="630"/>
      <c r="C440" s="630"/>
      <c r="M440" s="630" t="s">
        <v>632</v>
      </c>
      <c r="N440" s="630"/>
      <c r="O440" s="630"/>
      <c r="P440" s="630"/>
      <c r="Q440" s="627">
        <v>239808.78</v>
      </c>
      <c r="R440" s="627"/>
      <c r="T440" s="631">
        <v>0</v>
      </c>
      <c r="U440" s="631"/>
      <c r="V440" s="631"/>
      <c r="Y440" s="631">
        <v>0</v>
      </c>
      <c r="Z440" s="631"/>
      <c r="AA440" s="631"/>
      <c r="AB440" s="631"/>
      <c r="AC440" s="631"/>
      <c r="AD440" s="631"/>
      <c r="AF440" s="627">
        <v>239808.78</v>
      </c>
      <c r="AG440" s="627"/>
      <c r="AH440" s="627"/>
      <c r="AI440" s="627"/>
      <c r="AJ440" s="627"/>
      <c r="AK440" s="627"/>
      <c r="AL440" s="627"/>
    </row>
    <row r="441" spans="1:38" ht="11.1" customHeight="1" x14ac:dyDescent="0.25">
      <c r="A441" s="632" t="s">
        <v>3760</v>
      </c>
      <c r="B441" s="632"/>
      <c r="C441" s="632"/>
      <c r="J441" s="632" t="s">
        <v>814</v>
      </c>
      <c r="K441" s="632"/>
      <c r="L441" s="632"/>
      <c r="M441" s="632"/>
      <c r="N441" s="632"/>
      <c r="O441" s="632"/>
      <c r="P441" s="632"/>
      <c r="Q441" s="633">
        <v>-833140.8</v>
      </c>
      <c r="R441" s="633"/>
      <c r="T441" s="634">
        <v>0</v>
      </c>
      <c r="U441" s="634"/>
      <c r="V441" s="634"/>
      <c r="Y441" s="634">
        <v>7799.93</v>
      </c>
      <c r="Z441" s="634"/>
      <c r="AA441" s="634"/>
      <c r="AB441" s="634"/>
      <c r="AC441" s="634"/>
      <c r="AD441" s="634"/>
      <c r="AF441" s="633">
        <v>-840940.73</v>
      </c>
      <c r="AG441" s="633"/>
      <c r="AH441" s="633"/>
      <c r="AI441" s="633"/>
      <c r="AJ441" s="633"/>
      <c r="AK441" s="633"/>
      <c r="AL441" s="633"/>
    </row>
    <row r="442" spans="1:38" ht="11.1" customHeight="1" x14ac:dyDescent="0.25">
      <c r="A442" s="630" t="s">
        <v>3761</v>
      </c>
      <c r="B442" s="630"/>
      <c r="C442" s="630"/>
      <c r="K442" s="630" t="s">
        <v>616</v>
      </c>
      <c r="L442" s="630"/>
      <c r="M442" s="630"/>
      <c r="N442" s="630"/>
      <c r="O442" s="630"/>
      <c r="P442" s="630"/>
      <c r="Q442" s="627">
        <v>-463086.99</v>
      </c>
      <c r="R442" s="627"/>
      <c r="T442" s="631">
        <v>0</v>
      </c>
      <c r="U442" s="631"/>
      <c r="V442" s="631"/>
      <c r="Y442" s="631">
        <v>4051.24</v>
      </c>
      <c r="Z442" s="631"/>
      <c r="AA442" s="631"/>
      <c r="AB442" s="631"/>
      <c r="AC442" s="631"/>
      <c r="AD442" s="631"/>
      <c r="AF442" s="627">
        <v>-467138.23</v>
      </c>
      <c r="AG442" s="627"/>
      <c r="AH442" s="627"/>
      <c r="AI442" s="627"/>
      <c r="AJ442" s="627"/>
      <c r="AK442" s="627"/>
      <c r="AL442" s="627"/>
    </row>
    <row r="443" spans="1:38" ht="11.1" customHeight="1" x14ac:dyDescent="0.25">
      <c r="A443" s="630" t="s">
        <v>3762</v>
      </c>
      <c r="B443" s="630"/>
      <c r="C443" s="630"/>
      <c r="L443" s="630" t="s">
        <v>335</v>
      </c>
      <c r="M443" s="630"/>
      <c r="N443" s="630"/>
      <c r="O443" s="630"/>
      <c r="P443" s="630"/>
      <c r="Q443" s="627">
        <v>-463086.99</v>
      </c>
      <c r="R443" s="627"/>
      <c r="T443" s="631">
        <v>0</v>
      </c>
      <c r="U443" s="631"/>
      <c r="V443" s="631"/>
      <c r="Y443" s="631">
        <v>4051.24</v>
      </c>
      <c r="Z443" s="631"/>
      <c r="AA443" s="631"/>
      <c r="AB443" s="631"/>
      <c r="AC443" s="631"/>
      <c r="AD443" s="631"/>
      <c r="AF443" s="627">
        <v>-467138.23</v>
      </c>
      <c r="AG443" s="627"/>
      <c r="AH443" s="627"/>
      <c r="AI443" s="627"/>
      <c r="AJ443" s="627"/>
      <c r="AK443" s="627"/>
      <c r="AL443" s="627"/>
    </row>
    <row r="444" spans="1:38" ht="11.1" customHeight="1" x14ac:dyDescent="0.25">
      <c r="A444" s="630" t="s">
        <v>3763</v>
      </c>
      <c r="B444" s="630"/>
      <c r="C444" s="630"/>
      <c r="M444" s="630" t="s">
        <v>616</v>
      </c>
      <c r="N444" s="630"/>
      <c r="O444" s="630"/>
      <c r="P444" s="630"/>
      <c r="Q444" s="627">
        <v>-98430.67</v>
      </c>
      <c r="R444" s="627"/>
      <c r="T444" s="631">
        <v>0</v>
      </c>
      <c r="U444" s="631"/>
      <c r="V444" s="631"/>
      <c r="Y444" s="631">
        <v>3575.53</v>
      </c>
      <c r="Z444" s="631"/>
      <c r="AA444" s="631"/>
      <c r="AB444" s="631"/>
      <c r="AC444" s="631"/>
      <c r="AD444" s="631"/>
      <c r="AF444" s="627">
        <v>-102006.2</v>
      </c>
      <c r="AG444" s="627"/>
      <c r="AH444" s="627"/>
      <c r="AI444" s="627"/>
      <c r="AJ444" s="627"/>
      <c r="AK444" s="627"/>
      <c r="AL444" s="627"/>
    </row>
    <row r="445" spans="1:38" ht="11.1" customHeight="1" x14ac:dyDescent="0.25">
      <c r="A445" s="630" t="s">
        <v>3764</v>
      </c>
      <c r="B445" s="630"/>
      <c r="C445" s="630"/>
      <c r="M445" s="630" t="s">
        <v>800</v>
      </c>
      <c r="N445" s="630"/>
      <c r="O445" s="630"/>
      <c r="P445" s="630"/>
      <c r="Q445" s="627">
        <v>-335353.18</v>
      </c>
      <c r="R445" s="627"/>
      <c r="T445" s="631">
        <v>0</v>
      </c>
      <c r="U445" s="631"/>
      <c r="V445" s="631"/>
      <c r="Y445" s="631">
        <v>290.48</v>
      </c>
      <c r="Z445" s="631"/>
      <c r="AA445" s="631"/>
      <c r="AB445" s="631"/>
      <c r="AC445" s="631"/>
      <c r="AD445" s="631"/>
      <c r="AF445" s="627">
        <v>-335643.66</v>
      </c>
      <c r="AG445" s="627"/>
      <c r="AH445" s="627"/>
      <c r="AI445" s="627"/>
      <c r="AJ445" s="627"/>
      <c r="AK445" s="627"/>
      <c r="AL445" s="627"/>
    </row>
    <row r="446" spans="1:38" ht="11.1" customHeight="1" x14ac:dyDescent="0.25">
      <c r="A446" s="630" t="s">
        <v>3765</v>
      </c>
      <c r="B446" s="630"/>
      <c r="C446" s="630"/>
      <c r="M446" s="630" t="s">
        <v>802</v>
      </c>
      <c r="N446" s="630"/>
      <c r="O446" s="630"/>
      <c r="P446" s="630"/>
      <c r="Q446" s="627">
        <v>-7698.77</v>
      </c>
      <c r="R446" s="627"/>
      <c r="T446" s="631">
        <v>0</v>
      </c>
      <c r="U446" s="631"/>
      <c r="V446" s="631"/>
      <c r="Y446" s="631">
        <v>0</v>
      </c>
      <c r="Z446" s="631"/>
      <c r="AA446" s="631"/>
      <c r="AB446" s="631"/>
      <c r="AC446" s="631"/>
      <c r="AD446" s="631"/>
      <c r="AF446" s="627">
        <v>-7698.77</v>
      </c>
      <c r="AG446" s="627"/>
      <c r="AH446" s="627"/>
      <c r="AI446" s="627"/>
      <c r="AJ446" s="627"/>
      <c r="AK446" s="627"/>
      <c r="AL446" s="627"/>
    </row>
    <row r="447" spans="1:38" ht="11.1" customHeight="1" x14ac:dyDescent="0.25">
      <c r="A447" s="630" t="s">
        <v>3766</v>
      </c>
      <c r="B447" s="630"/>
      <c r="C447" s="630"/>
      <c r="M447" s="630" t="s">
        <v>804</v>
      </c>
      <c r="N447" s="630"/>
      <c r="O447" s="630"/>
      <c r="P447" s="630"/>
      <c r="Q447" s="627">
        <v>-8890</v>
      </c>
      <c r="R447" s="627"/>
      <c r="T447" s="631">
        <v>0</v>
      </c>
      <c r="U447" s="631"/>
      <c r="V447" s="631"/>
      <c r="Y447" s="631">
        <v>0</v>
      </c>
      <c r="Z447" s="631"/>
      <c r="AA447" s="631"/>
      <c r="AB447" s="631"/>
      <c r="AC447" s="631"/>
      <c r="AD447" s="631"/>
      <c r="AF447" s="627">
        <v>-8890</v>
      </c>
      <c r="AG447" s="627"/>
      <c r="AH447" s="627"/>
      <c r="AI447" s="627"/>
      <c r="AJ447" s="627"/>
      <c r="AK447" s="627"/>
      <c r="AL447" s="627"/>
    </row>
    <row r="448" spans="1:38" ht="11.1" customHeight="1" x14ac:dyDescent="0.25">
      <c r="A448" s="630" t="s">
        <v>3767</v>
      </c>
      <c r="B448" s="630"/>
      <c r="C448" s="630"/>
      <c r="M448" s="630" t="s">
        <v>806</v>
      </c>
      <c r="N448" s="630"/>
      <c r="O448" s="630"/>
      <c r="P448" s="630"/>
      <c r="Q448" s="627">
        <v>-10764.29</v>
      </c>
      <c r="R448" s="627"/>
      <c r="T448" s="631">
        <v>0</v>
      </c>
      <c r="U448" s="631"/>
      <c r="V448" s="631"/>
      <c r="Y448" s="631">
        <v>59.69</v>
      </c>
      <c r="Z448" s="631"/>
      <c r="AA448" s="631"/>
      <c r="AB448" s="631"/>
      <c r="AC448" s="631"/>
      <c r="AD448" s="631"/>
      <c r="AF448" s="627">
        <v>-10823.98</v>
      </c>
      <c r="AG448" s="627"/>
      <c r="AH448" s="627"/>
      <c r="AI448" s="627"/>
      <c r="AJ448" s="627"/>
      <c r="AK448" s="627"/>
      <c r="AL448" s="627"/>
    </row>
    <row r="449" spans="1:38" ht="11.1" customHeight="1" x14ac:dyDescent="0.25">
      <c r="A449" s="630" t="s">
        <v>3768</v>
      </c>
      <c r="B449" s="630"/>
      <c r="C449" s="630"/>
      <c r="M449" s="630" t="s">
        <v>2827</v>
      </c>
      <c r="N449" s="630"/>
      <c r="O449" s="630"/>
      <c r="P449" s="630"/>
      <c r="Q449" s="627">
        <v>-1950.08</v>
      </c>
      <c r="R449" s="627"/>
      <c r="T449" s="631">
        <v>0</v>
      </c>
      <c r="U449" s="631"/>
      <c r="V449" s="631"/>
      <c r="Y449" s="631">
        <v>125.54</v>
      </c>
      <c r="Z449" s="631"/>
      <c r="AA449" s="631"/>
      <c r="AB449" s="631"/>
      <c r="AC449" s="631"/>
      <c r="AD449" s="631"/>
      <c r="AF449" s="627">
        <v>-2075.62</v>
      </c>
      <c r="AG449" s="627"/>
      <c r="AH449" s="627"/>
      <c r="AI449" s="627"/>
      <c r="AJ449" s="627"/>
      <c r="AK449" s="627"/>
      <c r="AL449" s="627"/>
    </row>
    <row r="450" spans="1:38" ht="11.1" customHeight="1" x14ac:dyDescent="0.25">
      <c r="A450" s="630" t="s">
        <v>3769</v>
      </c>
      <c r="B450" s="630"/>
      <c r="C450" s="630"/>
      <c r="K450" s="630" t="s">
        <v>626</v>
      </c>
      <c r="L450" s="630"/>
      <c r="M450" s="630"/>
      <c r="N450" s="630"/>
      <c r="O450" s="630"/>
      <c r="P450" s="630"/>
      <c r="Q450" s="627">
        <v>-158045.78</v>
      </c>
      <c r="R450" s="627"/>
      <c r="T450" s="631">
        <v>0</v>
      </c>
      <c r="U450" s="631"/>
      <c r="V450" s="631"/>
      <c r="Y450" s="631">
        <v>2541.0300000000002</v>
      </c>
      <c r="Z450" s="631"/>
      <c r="AA450" s="631"/>
      <c r="AB450" s="631"/>
      <c r="AC450" s="631"/>
      <c r="AD450" s="631"/>
      <c r="AF450" s="627">
        <v>-160586.81</v>
      </c>
      <c r="AG450" s="627"/>
      <c r="AH450" s="627"/>
      <c r="AI450" s="627"/>
      <c r="AJ450" s="627"/>
      <c r="AK450" s="627"/>
      <c r="AL450" s="627"/>
    </row>
    <row r="451" spans="1:38" ht="11.1" customHeight="1" x14ac:dyDescent="0.25">
      <c r="A451" s="630" t="s">
        <v>3770</v>
      </c>
      <c r="B451" s="630"/>
      <c r="C451" s="630"/>
      <c r="L451" s="630" t="s">
        <v>335</v>
      </c>
      <c r="M451" s="630"/>
      <c r="N451" s="630"/>
      <c r="O451" s="630"/>
      <c r="P451" s="630"/>
      <c r="Q451" s="627">
        <v>-158045.78</v>
      </c>
      <c r="R451" s="627"/>
      <c r="T451" s="631">
        <v>0</v>
      </c>
      <c r="U451" s="631"/>
      <c r="V451" s="631"/>
      <c r="Y451" s="631">
        <v>2541.0300000000002</v>
      </c>
      <c r="Z451" s="631"/>
      <c r="AA451" s="631"/>
      <c r="AB451" s="631"/>
      <c r="AC451" s="631"/>
      <c r="AD451" s="631"/>
      <c r="AF451" s="627">
        <v>-160586.81</v>
      </c>
      <c r="AG451" s="627"/>
      <c r="AH451" s="627"/>
      <c r="AI451" s="627"/>
      <c r="AJ451" s="627"/>
      <c r="AK451" s="627"/>
      <c r="AL451" s="627"/>
    </row>
    <row r="452" spans="1:38" ht="11.1" customHeight="1" x14ac:dyDescent="0.25">
      <c r="A452" s="630" t="s">
        <v>3771</v>
      </c>
      <c r="B452" s="630"/>
      <c r="C452" s="630"/>
      <c r="M452" s="630" t="s">
        <v>626</v>
      </c>
      <c r="N452" s="630"/>
      <c r="O452" s="630"/>
      <c r="P452" s="630"/>
      <c r="Q452" s="627">
        <v>-128304.91</v>
      </c>
      <c r="R452" s="627"/>
      <c r="T452" s="631">
        <v>0</v>
      </c>
      <c r="U452" s="631"/>
      <c r="V452" s="631"/>
      <c r="Y452" s="631">
        <v>626.38</v>
      </c>
      <c r="Z452" s="631"/>
      <c r="AA452" s="631"/>
      <c r="AB452" s="631"/>
      <c r="AC452" s="631"/>
      <c r="AD452" s="631"/>
      <c r="AF452" s="627">
        <v>-128931.29</v>
      </c>
      <c r="AG452" s="627"/>
      <c r="AH452" s="627"/>
      <c r="AI452" s="627"/>
      <c r="AJ452" s="627"/>
      <c r="AK452" s="627"/>
      <c r="AL452" s="627"/>
    </row>
    <row r="453" spans="1:38" ht="11.1" customHeight="1" x14ac:dyDescent="0.25">
      <c r="A453" s="630" t="s">
        <v>3772</v>
      </c>
      <c r="B453" s="630"/>
      <c r="C453" s="630"/>
      <c r="M453" s="630" t="s">
        <v>2434</v>
      </c>
      <c r="N453" s="630"/>
      <c r="O453" s="630"/>
      <c r="P453" s="630"/>
      <c r="Q453" s="627">
        <v>-29740.87</v>
      </c>
      <c r="R453" s="627"/>
      <c r="T453" s="631">
        <v>0</v>
      </c>
      <c r="U453" s="631"/>
      <c r="V453" s="631"/>
      <c r="Y453" s="631">
        <v>1914.65</v>
      </c>
      <c r="Z453" s="631"/>
      <c r="AA453" s="631"/>
      <c r="AB453" s="631"/>
      <c r="AC453" s="631"/>
      <c r="AD453" s="631"/>
      <c r="AF453" s="627">
        <v>-31655.52</v>
      </c>
      <c r="AG453" s="627"/>
      <c r="AH453" s="627"/>
      <c r="AI453" s="627"/>
      <c r="AJ453" s="627"/>
      <c r="AK453" s="627"/>
      <c r="AL453" s="627"/>
    </row>
    <row r="454" spans="1:38" ht="11.1" customHeight="1" x14ac:dyDescent="0.25">
      <c r="A454" s="630" t="s">
        <v>3773</v>
      </c>
      <c r="B454" s="630"/>
      <c r="C454" s="630"/>
      <c r="K454" s="630" t="s">
        <v>632</v>
      </c>
      <c r="L454" s="630"/>
      <c r="M454" s="630"/>
      <c r="N454" s="630"/>
      <c r="O454" s="630"/>
      <c r="P454" s="630"/>
      <c r="Q454" s="627">
        <v>-212008.03</v>
      </c>
      <c r="R454" s="627"/>
      <c r="T454" s="631">
        <v>0</v>
      </c>
      <c r="U454" s="631"/>
      <c r="V454" s="631"/>
      <c r="Y454" s="631">
        <v>1207.6600000000001</v>
      </c>
      <c r="Z454" s="631"/>
      <c r="AA454" s="631"/>
      <c r="AB454" s="631"/>
      <c r="AC454" s="631"/>
      <c r="AD454" s="631"/>
      <c r="AF454" s="627">
        <v>-213215.69</v>
      </c>
      <c r="AG454" s="627"/>
      <c r="AH454" s="627"/>
      <c r="AI454" s="627"/>
      <c r="AJ454" s="627"/>
      <c r="AK454" s="627"/>
      <c r="AL454" s="627"/>
    </row>
    <row r="455" spans="1:38" ht="11.1" customHeight="1" x14ac:dyDescent="0.25">
      <c r="A455" s="630" t="s">
        <v>3774</v>
      </c>
      <c r="B455" s="630"/>
      <c r="C455" s="630"/>
      <c r="L455" s="630" t="s">
        <v>335</v>
      </c>
      <c r="M455" s="630"/>
      <c r="N455" s="630"/>
      <c r="O455" s="630"/>
      <c r="P455" s="630"/>
      <c r="Q455" s="627">
        <v>-212008.03</v>
      </c>
      <c r="R455" s="627"/>
      <c r="T455" s="631">
        <v>0</v>
      </c>
      <c r="U455" s="631"/>
      <c r="V455" s="631"/>
      <c r="Y455" s="631">
        <v>1207.6600000000001</v>
      </c>
      <c r="Z455" s="631"/>
      <c r="AA455" s="631"/>
      <c r="AB455" s="631"/>
      <c r="AC455" s="631"/>
      <c r="AD455" s="631"/>
      <c r="AF455" s="627">
        <v>-213215.69</v>
      </c>
      <c r="AG455" s="627"/>
      <c r="AH455" s="627"/>
      <c r="AI455" s="627"/>
      <c r="AJ455" s="627"/>
      <c r="AK455" s="627"/>
      <c r="AL455" s="627"/>
    </row>
    <row r="456" spans="1:38" ht="11.1" customHeight="1" x14ac:dyDescent="0.25">
      <c r="A456" s="630" t="s">
        <v>3775</v>
      </c>
      <c r="B456" s="630"/>
      <c r="C456" s="630"/>
      <c r="M456" s="630" t="s">
        <v>632</v>
      </c>
      <c r="N456" s="630"/>
      <c r="O456" s="630"/>
      <c r="P456" s="630"/>
      <c r="Q456" s="627">
        <v>-212008.03</v>
      </c>
      <c r="R456" s="627"/>
      <c r="T456" s="631">
        <v>0</v>
      </c>
      <c r="U456" s="631"/>
      <c r="V456" s="631"/>
      <c r="Y456" s="631">
        <v>1207.6600000000001</v>
      </c>
      <c r="Z456" s="631"/>
      <c r="AA456" s="631"/>
      <c r="AB456" s="631"/>
      <c r="AC456" s="631"/>
      <c r="AD456" s="631"/>
      <c r="AF456" s="627">
        <v>-213215.69</v>
      </c>
      <c r="AG456" s="627"/>
      <c r="AH456" s="627"/>
      <c r="AI456" s="627"/>
      <c r="AJ456" s="627"/>
      <c r="AK456" s="627"/>
      <c r="AL456" s="627"/>
    </row>
    <row r="457" spans="1:38" ht="11.1" customHeight="1" x14ac:dyDescent="0.25">
      <c r="A457" s="632" t="s">
        <v>3776</v>
      </c>
      <c r="B457" s="632"/>
      <c r="C457" s="632"/>
      <c r="J457" s="632" t="s">
        <v>829</v>
      </c>
      <c r="K457" s="632"/>
      <c r="L457" s="632"/>
      <c r="M457" s="632"/>
      <c r="N457" s="632"/>
      <c r="O457" s="632"/>
      <c r="P457" s="632"/>
      <c r="Q457" s="633">
        <v>273630</v>
      </c>
      <c r="R457" s="633"/>
      <c r="T457" s="634">
        <v>0</v>
      </c>
      <c r="U457" s="634"/>
      <c r="V457" s="634"/>
      <c r="Y457" s="634">
        <v>0</v>
      </c>
      <c r="Z457" s="634"/>
      <c r="AA457" s="634"/>
      <c r="AB457" s="634"/>
      <c r="AC457" s="634"/>
      <c r="AD457" s="634"/>
      <c r="AF457" s="633">
        <v>273630</v>
      </c>
      <c r="AG457" s="633"/>
      <c r="AH457" s="633"/>
      <c r="AI457" s="633"/>
      <c r="AJ457" s="633"/>
      <c r="AK457" s="633"/>
      <c r="AL457" s="633"/>
    </row>
    <row r="458" spans="1:38" ht="11.1" customHeight="1" x14ac:dyDescent="0.25">
      <c r="A458" s="630" t="s">
        <v>3777</v>
      </c>
      <c r="B458" s="630"/>
      <c r="C458" s="630"/>
      <c r="K458" s="630" t="s">
        <v>565</v>
      </c>
      <c r="L458" s="630"/>
      <c r="M458" s="630"/>
      <c r="N458" s="630"/>
      <c r="O458" s="630"/>
      <c r="P458" s="630"/>
      <c r="Q458" s="627">
        <v>4900</v>
      </c>
      <c r="R458" s="627"/>
      <c r="T458" s="631">
        <v>0</v>
      </c>
      <c r="U458" s="631"/>
      <c r="V458" s="631"/>
      <c r="Y458" s="631">
        <v>0</v>
      </c>
      <c r="Z458" s="631"/>
      <c r="AA458" s="631"/>
      <c r="AB458" s="631"/>
      <c r="AC458" s="631"/>
      <c r="AD458" s="631"/>
      <c r="AF458" s="627">
        <v>4900</v>
      </c>
      <c r="AG458" s="627"/>
      <c r="AH458" s="627"/>
      <c r="AI458" s="627"/>
      <c r="AJ458" s="627"/>
      <c r="AK458" s="627"/>
      <c r="AL458" s="627"/>
    </row>
    <row r="459" spans="1:38" ht="11.1" customHeight="1" x14ac:dyDescent="0.25">
      <c r="A459" s="630" t="s">
        <v>3778</v>
      </c>
      <c r="B459" s="630"/>
      <c r="C459" s="630"/>
      <c r="M459" s="630" t="s">
        <v>565</v>
      </c>
      <c r="N459" s="630"/>
      <c r="O459" s="630"/>
      <c r="P459" s="630"/>
      <c r="Q459" s="627">
        <v>4900</v>
      </c>
      <c r="R459" s="627"/>
      <c r="T459" s="631">
        <v>0</v>
      </c>
      <c r="U459" s="631"/>
      <c r="V459" s="631"/>
      <c r="Y459" s="631">
        <v>0</v>
      </c>
      <c r="Z459" s="631"/>
      <c r="AA459" s="631"/>
      <c r="AB459" s="631"/>
      <c r="AC459" s="631"/>
      <c r="AD459" s="631"/>
      <c r="AF459" s="627">
        <v>4900</v>
      </c>
      <c r="AG459" s="627"/>
      <c r="AH459" s="627"/>
      <c r="AI459" s="627"/>
      <c r="AJ459" s="627"/>
      <c r="AK459" s="627"/>
      <c r="AL459" s="627"/>
    </row>
    <row r="460" spans="1:38" ht="11.1" customHeight="1" x14ac:dyDescent="0.25">
      <c r="A460" s="630" t="s">
        <v>3779</v>
      </c>
      <c r="B460" s="630"/>
      <c r="C460" s="630"/>
      <c r="K460" s="630" t="s">
        <v>616</v>
      </c>
      <c r="L460" s="630"/>
      <c r="M460" s="630"/>
      <c r="N460" s="630"/>
      <c r="O460" s="630"/>
      <c r="P460" s="630"/>
      <c r="Q460" s="627">
        <v>268730</v>
      </c>
      <c r="R460" s="627"/>
      <c r="T460" s="631">
        <v>0</v>
      </c>
      <c r="U460" s="631"/>
      <c r="V460" s="631"/>
      <c r="Y460" s="631">
        <v>0</v>
      </c>
      <c r="Z460" s="631"/>
      <c r="AA460" s="631"/>
      <c r="AB460" s="631"/>
      <c r="AC460" s="631"/>
      <c r="AD460" s="631"/>
      <c r="AF460" s="627">
        <v>268730</v>
      </c>
      <c r="AG460" s="627"/>
      <c r="AH460" s="627"/>
      <c r="AI460" s="627"/>
      <c r="AJ460" s="627"/>
      <c r="AK460" s="627"/>
      <c r="AL460" s="627"/>
    </row>
    <row r="461" spans="1:38" ht="11.1" customHeight="1" x14ac:dyDescent="0.25">
      <c r="A461" s="630" t="s">
        <v>3780</v>
      </c>
      <c r="B461" s="630"/>
      <c r="C461" s="630"/>
      <c r="M461" s="630" t="s">
        <v>616</v>
      </c>
      <c r="N461" s="630"/>
      <c r="O461" s="630"/>
      <c r="P461" s="630"/>
      <c r="Q461" s="627">
        <v>521313.22</v>
      </c>
      <c r="R461" s="627"/>
      <c r="T461" s="631">
        <v>0</v>
      </c>
      <c r="U461" s="631"/>
      <c r="V461" s="631"/>
      <c r="Y461" s="631">
        <v>0</v>
      </c>
      <c r="Z461" s="631"/>
      <c r="AA461" s="631"/>
      <c r="AB461" s="631"/>
      <c r="AC461" s="631"/>
      <c r="AD461" s="631"/>
      <c r="AF461" s="627">
        <v>521313.22</v>
      </c>
      <c r="AG461" s="627"/>
      <c r="AH461" s="627"/>
      <c r="AI461" s="627"/>
      <c r="AJ461" s="627"/>
      <c r="AK461" s="627"/>
      <c r="AL461" s="627"/>
    </row>
    <row r="462" spans="1:38" ht="11.1" customHeight="1" x14ac:dyDescent="0.25">
      <c r="A462" s="630" t="s">
        <v>3781</v>
      </c>
      <c r="B462" s="630"/>
      <c r="C462" s="630"/>
      <c r="M462" s="630" t="s">
        <v>800</v>
      </c>
      <c r="N462" s="630"/>
      <c r="O462" s="630"/>
      <c r="P462" s="630"/>
      <c r="Q462" s="627">
        <v>185313</v>
      </c>
      <c r="R462" s="627"/>
      <c r="T462" s="631">
        <v>0</v>
      </c>
      <c r="U462" s="631"/>
      <c r="V462" s="631"/>
      <c r="Y462" s="631">
        <v>0</v>
      </c>
      <c r="Z462" s="631"/>
      <c r="AA462" s="631"/>
      <c r="AB462" s="631"/>
      <c r="AC462" s="631"/>
      <c r="AD462" s="631"/>
      <c r="AF462" s="627">
        <v>185313</v>
      </c>
      <c r="AG462" s="627"/>
      <c r="AH462" s="627"/>
      <c r="AI462" s="627"/>
      <c r="AJ462" s="627"/>
      <c r="AK462" s="627"/>
      <c r="AL462" s="627"/>
    </row>
    <row r="463" spans="1:38" ht="11.1" customHeight="1" x14ac:dyDescent="0.25">
      <c r="A463" s="630" t="s">
        <v>3782</v>
      </c>
      <c r="B463" s="630"/>
      <c r="C463" s="630"/>
      <c r="M463" s="630" t="s">
        <v>3783</v>
      </c>
      <c r="N463" s="630"/>
      <c r="O463" s="630"/>
      <c r="P463" s="630"/>
      <c r="Q463" s="627">
        <v>-252583.22</v>
      </c>
      <c r="R463" s="627"/>
      <c r="T463" s="631">
        <v>0</v>
      </c>
      <c r="U463" s="631"/>
      <c r="V463" s="631"/>
      <c r="Y463" s="631">
        <v>0</v>
      </c>
      <c r="Z463" s="631"/>
      <c r="AA463" s="631"/>
      <c r="AB463" s="631"/>
      <c r="AC463" s="631"/>
      <c r="AD463" s="631"/>
      <c r="AF463" s="627">
        <v>-252583.22</v>
      </c>
      <c r="AG463" s="627"/>
      <c r="AH463" s="627"/>
      <c r="AI463" s="627"/>
      <c r="AJ463" s="627"/>
      <c r="AK463" s="627"/>
      <c r="AL463" s="627"/>
    </row>
    <row r="464" spans="1:38" ht="11.1" customHeight="1" x14ac:dyDescent="0.25">
      <c r="A464" s="630" t="s">
        <v>3784</v>
      </c>
      <c r="B464" s="630"/>
      <c r="C464" s="630"/>
      <c r="M464" s="630" t="s">
        <v>3785</v>
      </c>
      <c r="N464" s="630"/>
      <c r="O464" s="630"/>
      <c r="P464" s="630"/>
      <c r="Q464" s="627">
        <v>-185313</v>
      </c>
      <c r="R464" s="627"/>
      <c r="T464" s="631">
        <v>0</v>
      </c>
      <c r="U464" s="631"/>
      <c r="V464" s="631"/>
      <c r="Y464" s="631">
        <v>0</v>
      </c>
      <c r="Z464" s="631"/>
      <c r="AA464" s="631"/>
      <c r="AB464" s="631"/>
      <c r="AC464" s="631"/>
      <c r="AD464" s="631"/>
      <c r="AF464" s="627">
        <v>-185313</v>
      </c>
      <c r="AG464" s="627"/>
      <c r="AH464" s="627"/>
      <c r="AI464" s="627"/>
      <c r="AJ464" s="627"/>
      <c r="AK464" s="627"/>
      <c r="AL464" s="627"/>
    </row>
    <row r="465" spans="1:38" ht="11.1" customHeight="1" x14ac:dyDescent="0.25">
      <c r="A465" s="630" t="s">
        <v>3786</v>
      </c>
      <c r="B465" s="630"/>
      <c r="C465" s="630"/>
      <c r="K465" s="630" t="s">
        <v>632</v>
      </c>
      <c r="L465" s="630"/>
      <c r="M465" s="630"/>
      <c r="N465" s="630"/>
      <c r="O465" s="630"/>
      <c r="P465" s="630"/>
      <c r="Q465" s="627">
        <v>0</v>
      </c>
      <c r="R465" s="627"/>
      <c r="T465" s="631">
        <v>0</v>
      </c>
      <c r="U465" s="631"/>
      <c r="V465" s="631"/>
      <c r="Y465" s="631">
        <v>0</v>
      </c>
      <c r="Z465" s="631"/>
      <c r="AA465" s="631"/>
      <c r="AB465" s="631"/>
      <c r="AC465" s="631"/>
      <c r="AD465" s="631"/>
      <c r="AF465" s="627">
        <v>0</v>
      </c>
      <c r="AG465" s="627"/>
      <c r="AH465" s="627"/>
      <c r="AI465" s="627"/>
      <c r="AJ465" s="627"/>
      <c r="AK465" s="627"/>
      <c r="AL465" s="627"/>
    </row>
    <row r="466" spans="1:38" ht="11.1" customHeight="1" x14ac:dyDescent="0.25">
      <c r="A466" s="630" t="s">
        <v>3787</v>
      </c>
      <c r="B466" s="630"/>
      <c r="C466" s="630"/>
      <c r="M466" s="630" t="s">
        <v>632</v>
      </c>
      <c r="N466" s="630"/>
      <c r="O466" s="630"/>
      <c r="P466" s="630"/>
      <c r="Q466" s="627">
        <v>1825</v>
      </c>
      <c r="R466" s="627"/>
      <c r="T466" s="631">
        <v>0</v>
      </c>
      <c r="U466" s="631"/>
      <c r="V466" s="631"/>
      <c r="Y466" s="631">
        <v>0</v>
      </c>
      <c r="Z466" s="631"/>
      <c r="AA466" s="631"/>
      <c r="AB466" s="631"/>
      <c r="AC466" s="631"/>
      <c r="AD466" s="631"/>
      <c r="AF466" s="627">
        <v>1825</v>
      </c>
      <c r="AG466" s="627"/>
      <c r="AH466" s="627"/>
      <c r="AI466" s="627"/>
      <c r="AJ466" s="627"/>
      <c r="AK466" s="627"/>
      <c r="AL466" s="627"/>
    </row>
    <row r="467" spans="1:38" ht="11.1" customHeight="1" x14ac:dyDescent="0.25">
      <c r="A467" s="630" t="s">
        <v>3788</v>
      </c>
      <c r="B467" s="630"/>
      <c r="C467" s="630"/>
      <c r="M467" s="630" t="s">
        <v>3789</v>
      </c>
      <c r="N467" s="630"/>
      <c r="O467" s="630"/>
      <c r="P467" s="630"/>
      <c r="Q467" s="627">
        <v>-1825</v>
      </c>
      <c r="R467" s="627"/>
      <c r="T467" s="631">
        <v>0</v>
      </c>
      <c r="U467" s="631"/>
      <c r="V467" s="631"/>
      <c r="Y467" s="631">
        <v>0</v>
      </c>
      <c r="Z467" s="631"/>
      <c r="AA467" s="631"/>
      <c r="AB467" s="631"/>
      <c r="AC467" s="631"/>
      <c r="AD467" s="631"/>
      <c r="AF467" s="627">
        <v>-1825</v>
      </c>
      <c r="AG467" s="627"/>
      <c r="AH467" s="627"/>
      <c r="AI467" s="627"/>
      <c r="AJ467" s="627"/>
      <c r="AK467" s="627"/>
      <c r="AL467" s="627"/>
    </row>
    <row r="468" spans="1:38" ht="11.1" customHeight="1" x14ac:dyDescent="0.25">
      <c r="A468" s="632" t="s">
        <v>3790</v>
      </c>
      <c r="B468" s="632"/>
      <c r="C468" s="632"/>
      <c r="H468" s="632" t="s">
        <v>842</v>
      </c>
      <c r="I468" s="632"/>
      <c r="J468" s="632"/>
      <c r="K468" s="632"/>
      <c r="L468" s="632"/>
      <c r="M468" s="632"/>
      <c r="N468" s="632"/>
      <c r="O468" s="632"/>
      <c r="P468" s="632"/>
      <c r="Q468" s="633">
        <v>55264468.119999997</v>
      </c>
      <c r="R468" s="633"/>
      <c r="T468" s="634">
        <v>6090653.3499999996</v>
      </c>
      <c r="U468" s="634"/>
      <c r="V468" s="634"/>
      <c r="Y468" s="634">
        <v>4205728.8499999996</v>
      </c>
      <c r="Z468" s="634"/>
      <c r="AA468" s="634"/>
      <c r="AB468" s="634"/>
      <c r="AC468" s="634"/>
      <c r="AD468" s="634"/>
      <c r="AF468" s="633">
        <v>57149392.619999997</v>
      </c>
      <c r="AG468" s="633"/>
      <c r="AH468" s="633"/>
      <c r="AI468" s="633"/>
      <c r="AJ468" s="633"/>
      <c r="AK468" s="633"/>
      <c r="AL468" s="633"/>
    </row>
    <row r="469" spans="1:38" ht="11.1" customHeight="1" x14ac:dyDescent="0.25">
      <c r="A469" s="632" t="s">
        <v>3791</v>
      </c>
      <c r="B469" s="632"/>
      <c r="C469" s="632"/>
      <c r="I469" s="632" t="s">
        <v>581</v>
      </c>
      <c r="J469" s="632"/>
      <c r="K469" s="632"/>
      <c r="L469" s="632"/>
      <c r="M469" s="632"/>
      <c r="N469" s="632"/>
      <c r="O469" s="632"/>
      <c r="P469" s="632"/>
      <c r="Q469" s="633">
        <v>55223839.119999997</v>
      </c>
      <c r="R469" s="633"/>
      <c r="T469" s="634">
        <v>6090653.3499999996</v>
      </c>
      <c r="U469" s="634"/>
      <c r="V469" s="634"/>
      <c r="Y469" s="634">
        <v>4204558.0199999996</v>
      </c>
      <c r="Z469" s="634"/>
      <c r="AA469" s="634"/>
      <c r="AB469" s="634"/>
      <c r="AC469" s="634"/>
      <c r="AD469" s="634"/>
      <c r="AF469" s="633">
        <v>57109934.450000003</v>
      </c>
      <c r="AG469" s="633"/>
      <c r="AH469" s="633"/>
      <c r="AI469" s="633"/>
      <c r="AJ469" s="633"/>
      <c r="AK469" s="633"/>
      <c r="AL469" s="633"/>
    </row>
    <row r="470" spans="1:38" ht="11.1" customHeight="1" x14ac:dyDescent="0.25">
      <c r="A470" s="632" t="s">
        <v>3792</v>
      </c>
      <c r="B470" s="632"/>
      <c r="C470" s="632"/>
      <c r="J470" s="632" t="s">
        <v>845</v>
      </c>
      <c r="K470" s="632"/>
      <c r="L470" s="632"/>
      <c r="M470" s="632"/>
      <c r="N470" s="632"/>
      <c r="O470" s="632"/>
      <c r="P470" s="632"/>
      <c r="Q470" s="633">
        <v>89285010.299999997</v>
      </c>
      <c r="R470" s="633"/>
      <c r="T470" s="634">
        <v>6090653.3200000003</v>
      </c>
      <c r="U470" s="634"/>
      <c r="V470" s="634"/>
      <c r="Y470" s="634">
        <v>0</v>
      </c>
      <c r="Z470" s="634"/>
      <c r="AA470" s="634"/>
      <c r="AB470" s="634"/>
      <c r="AC470" s="634"/>
      <c r="AD470" s="634"/>
      <c r="AF470" s="633">
        <v>95375663.620000005</v>
      </c>
      <c r="AG470" s="633"/>
      <c r="AH470" s="633"/>
      <c r="AI470" s="633"/>
      <c r="AJ470" s="633"/>
      <c r="AK470" s="633"/>
      <c r="AL470" s="633"/>
    </row>
    <row r="471" spans="1:38" ht="11.1" customHeight="1" x14ac:dyDescent="0.25">
      <c r="A471" s="630" t="s">
        <v>3793</v>
      </c>
      <c r="B471" s="630"/>
      <c r="C471" s="630"/>
      <c r="K471" s="630" t="s">
        <v>847</v>
      </c>
      <c r="L471" s="630"/>
      <c r="M471" s="630"/>
      <c r="N471" s="630"/>
      <c r="O471" s="630"/>
      <c r="P471" s="630"/>
      <c r="Q471" s="627">
        <v>88383600</v>
      </c>
      <c r="R471" s="627"/>
      <c r="T471" s="631">
        <v>6090653.3200000003</v>
      </c>
      <c r="U471" s="631"/>
      <c r="V471" s="631"/>
      <c r="Y471" s="631">
        <v>0</v>
      </c>
      <c r="Z471" s="631"/>
      <c r="AA471" s="631"/>
      <c r="AB471" s="631"/>
      <c r="AC471" s="631"/>
      <c r="AD471" s="631"/>
      <c r="AF471" s="627">
        <v>94474253.319999993</v>
      </c>
      <c r="AG471" s="627"/>
      <c r="AH471" s="627"/>
      <c r="AI471" s="627"/>
      <c r="AJ471" s="627"/>
      <c r="AK471" s="627"/>
      <c r="AL471" s="627"/>
    </row>
    <row r="472" spans="1:38" ht="11.1" customHeight="1" x14ac:dyDescent="0.25">
      <c r="A472" s="630" t="s">
        <v>3794</v>
      </c>
      <c r="B472" s="630"/>
      <c r="C472" s="630"/>
      <c r="L472" s="630" t="s">
        <v>302</v>
      </c>
      <c r="M472" s="630"/>
      <c r="N472" s="630"/>
      <c r="O472" s="630"/>
      <c r="P472" s="630"/>
      <c r="Q472" s="627">
        <v>88383600</v>
      </c>
      <c r="R472" s="627"/>
      <c r="T472" s="631">
        <v>6090653.3200000003</v>
      </c>
      <c r="U472" s="631"/>
      <c r="V472" s="631"/>
      <c r="Y472" s="631">
        <v>0</v>
      </c>
      <c r="Z472" s="631"/>
      <c r="AA472" s="631"/>
      <c r="AB472" s="631"/>
      <c r="AC472" s="631"/>
      <c r="AD472" s="631"/>
      <c r="AF472" s="627">
        <v>94474253.319999993</v>
      </c>
      <c r="AG472" s="627"/>
      <c r="AH472" s="627"/>
      <c r="AI472" s="627"/>
      <c r="AJ472" s="627"/>
      <c r="AK472" s="627"/>
      <c r="AL472" s="627"/>
    </row>
    <row r="473" spans="1:38" ht="11.1" customHeight="1" x14ac:dyDescent="0.25">
      <c r="A473" s="630" t="s">
        <v>3795</v>
      </c>
      <c r="B473" s="630"/>
      <c r="C473" s="630"/>
      <c r="M473" s="630" t="s">
        <v>850</v>
      </c>
      <c r="N473" s="630"/>
      <c r="O473" s="630"/>
      <c r="P473" s="630"/>
      <c r="Q473" s="627">
        <v>88383600</v>
      </c>
      <c r="R473" s="627"/>
      <c r="T473" s="631">
        <v>6090653.3200000003</v>
      </c>
      <c r="U473" s="631"/>
      <c r="V473" s="631"/>
      <c r="Y473" s="631">
        <v>0</v>
      </c>
      <c r="Z473" s="631"/>
      <c r="AA473" s="631"/>
      <c r="AB473" s="631"/>
      <c r="AC473" s="631"/>
      <c r="AD473" s="631"/>
      <c r="AF473" s="627">
        <v>94474253.319999993</v>
      </c>
      <c r="AG473" s="627"/>
      <c r="AH473" s="627"/>
      <c r="AI473" s="627"/>
      <c r="AJ473" s="627"/>
      <c r="AK473" s="627"/>
      <c r="AL473" s="627"/>
    </row>
    <row r="474" spans="1:38" ht="11.1" customHeight="1" x14ac:dyDescent="0.25">
      <c r="A474" s="630" t="s">
        <v>3796</v>
      </c>
      <c r="B474" s="630"/>
      <c r="C474" s="630"/>
      <c r="K474" s="630" t="s">
        <v>852</v>
      </c>
      <c r="L474" s="630"/>
      <c r="M474" s="630"/>
      <c r="N474" s="630"/>
      <c r="O474" s="630"/>
      <c r="P474" s="630"/>
      <c r="Q474" s="627">
        <v>901410.3</v>
      </c>
      <c r="R474" s="627"/>
      <c r="T474" s="631">
        <v>0</v>
      </c>
      <c r="U474" s="631"/>
      <c r="V474" s="631"/>
      <c r="Y474" s="631">
        <v>0</v>
      </c>
      <c r="Z474" s="631"/>
      <c r="AA474" s="631"/>
      <c r="AB474" s="631"/>
      <c r="AC474" s="631"/>
      <c r="AD474" s="631"/>
      <c r="AF474" s="627">
        <v>901410.3</v>
      </c>
      <c r="AG474" s="627"/>
      <c r="AH474" s="627"/>
      <c r="AI474" s="627"/>
      <c r="AJ474" s="627"/>
      <c r="AK474" s="627"/>
      <c r="AL474" s="627"/>
    </row>
    <row r="475" spans="1:38" ht="11.1" customHeight="1" x14ac:dyDescent="0.25">
      <c r="A475" s="630" t="s">
        <v>3797</v>
      </c>
      <c r="B475" s="630"/>
      <c r="C475" s="630"/>
      <c r="L475" s="630" t="s">
        <v>586</v>
      </c>
      <c r="M475" s="630"/>
      <c r="N475" s="630"/>
      <c r="O475" s="630"/>
      <c r="P475" s="630"/>
      <c r="Q475" s="627">
        <v>394072.57</v>
      </c>
      <c r="R475" s="627"/>
      <c r="T475" s="631">
        <v>0</v>
      </c>
      <c r="U475" s="631"/>
      <c r="V475" s="631"/>
      <c r="Y475" s="631">
        <v>0</v>
      </c>
      <c r="Z475" s="631"/>
      <c r="AA475" s="631"/>
      <c r="AB475" s="631"/>
      <c r="AC475" s="631"/>
      <c r="AD475" s="631"/>
      <c r="AF475" s="627">
        <v>394072.57</v>
      </c>
      <c r="AG475" s="627"/>
      <c r="AH475" s="627"/>
      <c r="AI475" s="627"/>
      <c r="AJ475" s="627"/>
      <c r="AK475" s="627"/>
      <c r="AL475" s="627"/>
    </row>
    <row r="476" spans="1:38" ht="11.1" customHeight="1" x14ac:dyDescent="0.25">
      <c r="A476" s="630" t="s">
        <v>3798</v>
      </c>
      <c r="B476" s="630"/>
      <c r="C476" s="630"/>
      <c r="M476" s="630" t="s">
        <v>855</v>
      </c>
      <c r="N476" s="630"/>
      <c r="O476" s="630"/>
      <c r="P476" s="630"/>
      <c r="Q476" s="627">
        <v>394072.57</v>
      </c>
      <c r="R476" s="627"/>
      <c r="T476" s="631">
        <v>0</v>
      </c>
      <c r="U476" s="631"/>
      <c r="V476" s="631"/>
      <c r="Y476" s="631">
        <v>0</v>
      </c>
      <c r="Z476" s="631"/>
      <c r="AA476" s="631"/>
      <c r="AB476" s="631"/>
      <c r="AC476" s="631"/>
      <c r="AD476" s="631"/>
      <c r="AF476" s="627">
        <v>394072.57</v>
      </c>
      <c r="AG476" s="627"/>
      <c r="AH476" s="627"/>
      <c r="AI476" s="627"/>
      <c r="AJ476" s="627"/>
      <c r="AK476" s="627"/>
      <c r="AL476" s="627"/>
    </row>
    <row r="477" spans="1:38" ht="11.1" customHeight="1" x14ac:dyDescent="0.25">
      <c r="A477" s="630" t="s">
        <v>3799</v>
      </c>
      <c r="B477" s="630"/>
      <c r="C477" s="630"/>
      <c r="L477" s="630" t="s">
        <v>302</v>
      </c>
      <c r="M477" s="630"/>
      <c r="N477" s="630"/>
      <c r="O477" s="630"/>
      <c r="P477" s="630"/>
      <c r="Q477" s="627">
        <v>50197.65</v>
      </c>
      <c r="R477" s="627"/>
      <c r="T477" s="631">
        <v>0</v>
      </c>
      <c r="U477" s="631"/>
      <c r="V477" s="631"/>
      <c r="Y477" s="631">
        <v>0</v>
      </c>
      <c r="Z477" s="631"/>
      <c r="AA477" s="631"/>
      <c r="AB477" s="631"/>
      <c r="AC477" s="631"/>
      <c r="AD477" s="631"/>
      <c r="AF477" s="627">
        <v>50197.65</v>
      </c>
      <c r="AG477" s="627"/>
      <c r="AH477" s="627"/>
      <c r="AI477" s="627"/>
      <c r="AJ477" s="627"/>
      <c r="AK477" s="627"/>
      <c r="AL477" s="627"/>
    </row>
    <row r="478" spans="1:38" ht="11.1" customHeight="1" x14ac:dyDescent="0.25">
      <c r="A478" s="630" t="s">
        <v>3800</v>
      </c>
      <c r="B478" s="630"/>
      <c r="C478" s="630"/>
      <c r="M478" s="630" t="s">
        <v>855</v>
      </c>
      <c r="N478" s="630"/>
      <c r="O478" s="630"/>
      <c r="P478" s="630"/>
      <c r="Q478" s="627">
        <v>50197.65</v>
      </c>
      <c r="R478" s="627"/>
      <c r="T478" s="631">
        <v>0</v>
      </c>
      <c r="U478" s="631"/>
      <c r="V478" s="631"/>
      <c r="Y478" s="631">
        <v>0</v>
      </c>
      <c r="Z478" s="631"/>
      <c r="AA478" s="631"/>
      <c r="AB478" s="631"/>
      <c r="AC478" s="631"/>
      <c r="AD478" s="631"/>
      <c r="AF478" s="627">
        <v>50197.65</v>
      </c>
      <c r="AG478" s="627"/>
      <c r="AH478" s="627"/>
      <c r="AI478" s="627"/>
      <c r="AJ478" s="627"/>
      <c r="AK478" s="627"/>
      <c r="AL478" s="627"/>
    </row>
    <row r="479" spans="1:38" ht="11.1" customHeight="1" x14ac:dyDescent="0.25">
      <c r="A479" s="630" t="s">
        <v>3801</v>
      </c>
      <c r="B479" s="630"/>
      <c r="C479" s="630"/>
      <c r="L479" s="630" t="s">
        <v>591</v>
      </c>
      <c r="M479" s="630"/>
      <c r="N479" s="630"/>
      <c r="O479" s="630"/>
      <c r="P479" s="630"/>
      <c r="Q479" s="627">
        <v>457140.08</v>
      </c>
      <c r="R479" s="627"/>
      <c r="T479" s="631">
        <v>0</v>
      </c>
      <c r="U479" s="631"/>
      <c r="V479" s="631"/>
      <c r="Y479" s="631">
        <v>0</v>
      </c>
      <c r="Z479" s="631"/>
      <c r="AA479" s="631"/>
      <c r="AB479" s="631"/>
      <c r="AC479" s="631"/>
      <c r="AD479" s="631"/>
      <c r="AF479" s="627">
        <v>457140.08</v>
      </c>
      <c r="AG479" s="627"/>
      <c r="AH479" s="627"/>
      <c r="AI479" s="627"/>
      <c r="AJ479" s="627"/>
      <c r="AK479" s="627"/>
      <c r="AL479" s="627"/>
    </row>
    <row r="480" spans="1:38" ht="11.1" customHeight="1" x14ac:dyDescent="0.25">
      <c r="A480" s="630" t="s">
        <v>3802</v>
      </c>
      <c r="B480" s="630"/>
      <c r="C480" s="630"/>
      <c r="M480" s="630" t="s">
        <v>860</v>
      </c>
      <c r="N480" s="630"/>
      <c r="O480" s="630"/>
      <c r="P480" s="630"/>
      <c r="Q480" s="627">
        <v>228705.84</v>
      </c>
      <c r="R480" s="627"/>
      <c r="T480" s="631">
        <v>0</v>
      </c>
      <c r="U480" s="631"/>
      <c r="V480" s="631"/>
      <c r="Y480" s="631">
        <v>0</v>
      </c>
      <c r="Z480" s="631"/>
      <c r="AA480" s="631"/>
      <c r="AB480" s="631"/>
      <c r="AC480" s="631"/>
      <c r="AD480" s="631"/>
      <c r="AF480" s="627">
        <v>228705.84</v>
      </c>
      <c r="AG480" s="627"/>
      <c r="AH480" s="627"/>
      <c r="AI480" s="627"/>
      <c r="AJ480" s="627"/>
      <c r="AK480" s="627"/>
      <c r="AL480" s="627"/>
    </row>
    <row r="481" spans="1:38" ht="11.1" customHeight="1" x14ac:dyDescent="0.25">
      <c r="A481" s="630" t="s">
        <v>3803</v>
      </c>
      <c r="B481" s="630"/>
      <c r="C481" s="630"/>
      <c r="M481" s="630" t="s">
        <v>2829</v>
      </c>
      <c r="N481" s="630"/>
      <c r="O481" s="630"/>
      <c r="P481" s="630"/>
      <c r="Q481" s="627">
        <v>228434.24</v>
      </c>
      <c r="R481" s="627"/>
      <c r="T481" s="631">
        <v>0</v>
      </c>
      <c r="U481" s="631"/>
      <c r="V481" s="631"/>
      <c r="Y481" s="631">
        <v>0</v>
      </c>
      <c r="Z481" s="631"/>
      <c r="AA481" s="631"/>
      <c r="AB481" s="631"/>
      <c r="AC481" s="631"/>
      <c r="AD481" s="631"/>
      <c r="AF481" s="627">
        <v>228434.24</v>
      </c>
      <c r="AG481" s="627"/>
      <c r="AH481" s="627"/>
      <c r="AI481" s="627"/>
      <c r="AJ481" s="627"/>
      <c r="AK481" s="627"/>
      <c r="AL481" s="627"/>
    </row>
    <row r="482" spans="1:38" ht="11.1" customHeight="1" x14ac:dyDescent="0.25">
      <c r="A482" s="632" t="s">
        <v>3804</v>
      </c>
      <c r="B482" s="632"/>
      <c r="C482" s="632"/>
      <c r="J482" s="632" t="s">
        <v>862</v>
      </c>
      <c r="K482" s="632"/>
      <c r="L482" s="632"/>
      <c r="M482" s="632"/>
      <c r="N482" s="632"/>
      <c r="O482" s="632"/>
      <c r="P482" s="632"/>
      <c r="Q482" s="633">
        <v>-34061171.18</v>
      </c>
      <c r="R482" s="633"/>
      <c r="T482" s="634">
        <v>0.03</v>
      </c>
      <c r="U482" s="634"/>
      <c r="V482" s="634"/>
      <c r="Y482" s="634">
        <v>4204558.0199999996</v>
      </c>
      <c r="Z482" s="634"/>
      <c r="AA482" s="634"/>
      <c r="AB482" s="634"/>
      <c r="AC482" s="634"/>
      <c r="AD482" s="634"/>
      <c r="AF482" s="633">
        <v>-38265729.170000002</v>
      </c>
      <c r="AG482" s="633"/>
      <c r="AH482" s="633"/>
      <c r="AI482" s="633"/>
      <c r="AJ482" s="633"/>
      <c r="AK482" s="633"/>
      <c r="AL482" s="633"/>
    </row>
    <row r="483" spans="1:38" ht="11.1" customHeight="1" x14ac:dyDescent="0.25">
      <c r="A483" s="630" t="s">
        <v>3805</v>
      </c>
      <c r="B483" s="630"/>
      <c r="C483" s="630"/>
      <c r="K483" s="630" t="s">
        <v>847</v>
      </c>
      <c r="L483" s="630"/>
      <c r="M483" s="630"/>
      <c r="N483" s="630"/>
      <c r="O483" s="630"/>
      <c r="P483" s="630"/>
      <c r="Q483" s="627">
        <v>-33710414.189999998</v>
      </c>
      <c r="R483" s="627"/>
      <c r="T483" s="631">
        <v>0.03</v>
      </c>
      <c r="U483" s="631"/>
      <c r="V483" s="631"/>
      <c r="Y483" s="631">
        <v>4194149.48</v>
      </c>
      <c r="Z483" s="631"/>
      <c r="AA483" s="631"/>
      <c r="AB483" s="631"/>
      <c r="AC483" s="631"/>
      <c r="AD483" s="631"/>
      <c r="AF483" s="627">
        <v>-37904563.640000001</v>
      </c>
      <c r="AG483" s="627"/>
      <c r="AH483" s="627"/>
      <c r="AI483" s="627"/>
      <c r="AJ483" s="627"/>
      <c r="AK483" s="627"/>
      <c r="AL483" s="627"/>
    </row>
    <row r="484" spans="1:38" ht="11.1" customHeight="1" x14ac:dyDescent="0.25">
      <c r="A484" s="630" t="s">
        <v>3806</v>
      </c>
      <c r="B484" s="630"/>
      <c r="C484" s="630"/>
      <c r="L484" s="630" t="s">
        <v>302</v>
      </c>
      <c r="M484" s="630"/>
      <c r="N484" s="630"/>
      <c r="O484" s="630"/>
      <c r="P484" s="630"/>
      <c r="Q484" s="627">
        <v>-33710414.189999998</v>
      </c>
      <c r="R484" s="627"/>
      <c r="T484" s="631">
        <v>0.03</v>
      </c>
      <c r="U484" s="631"/>
      <c r="V484" s="631"/>
      <c r="Y484" s="631">
        <v>4194149.48</v>
      </c>
      <c r="Z484" s="631"/>
      <c r="AA484" s="631"/>
      <c r="AB484" s="631"/>
      <c r="AC484" s="631"/>
      <c r="AD484" s="631"/>
      <c r="AF484" s="627">
        <v>-37904563.640000001</v>
      </c>
      <c r="AG484" s="627"/>
      <c r="AH484" s="627"/>
      <c r="AI484" s="627"/>
      <c r="AJ484" s="627"/>
      <c r="AK484" s="627"/>
      <c r="AL484" s="627"/>
    </row>
    <row r="485" spans="1:38" ht="11.1" customHeight="1" x14ac:dyDescent="0.25">
      <c r="A485" s="630" t="s">
        <v>3807</v>
      </c>
      <c r="B485" s="630"/>
      <c r="C485" s="630"/>
      <c r="M485" s="630" t="s">
        <v>850</v>
      </c>
      <c r="N485" s="630"/>
      <c r="O485" s="630"/>
      <c r="P485" s="630"/>
      <c r="Q485" s="627">
        <v>-33710414.189999998</v>
      </c>
      <c r="R485" s="627"/>
      <c r="T485" s="631">
        <v>0.03</v>
      </c>
      <c r="U485" s="631"/>
      <c r="V485" s="631"/>
      <c r="Y485" s="631">
        <v>4194149.48</v>
      </c>
      <c r="Z485" s="631"/>
      <c r="AA485" s="631"/>
      <c r="AB485" s="631"/>
      <c r="AC485" s="631"/>
      <c r="AD485" s="631"/>
      <c r="AF485" s="627">
        <v>-37904563.640000001</v>
      </c>
      <c r="AG485" s="627"/>
      <c r="AH485" s="627"/>
      <c r="AI485" s="627"/>
      <c r="AJ485" s="627"/>
      <c r="AK485" s="627"/>
      <c r="AL485" s="627"/>
    </row>
    <row r="486" spans="1:38" ht="11.1" customHeight="1" x14ac:dyDescent="0.25">
      <c r="A486" s="630" t="s">
        <v>3808</v>
      </c>
      <c r="B486" s="630"/>
      <c r="C486" s="630"/>
      <c r="K486" s="630" t="s">
        <v>852</v>
      </c>
      <c r="L486" s="630"/>
      <c r="M486" s="630"/>
      <c r="N486" s="630"/>
      <c r="O486" s="630"/>
      <c r="P486" s="630"/>
      <c r="Q486" s="627">
        <v>-350756.99</v>
      </c>
      <c r="R486" s="627"/>
      <c r="T486" s="631">
        <v>0</v>
      </c>
      <c r="U486" s="631"/>
      <c r="V486" s="631"/>
      <c r="Y486" s="631">
        <v>10408.540000000001</v>
      </c>
      <c r="Z486" s="631"/>
      <c r="AA486" s="631"/>
      <c r="AB486" s="631"/>
      <c r="AC486" s="631"/>
      <c r="AD486" s="631"/>
      <c r="AF486" s="627">
        <v>-361165.53</v>
      </c>
      <c r="AG486" s="627"/>
      <c r="AH486" s="627"/>
      <c r="AI486" s="627"/>
      <c r="AJ486" s="627"/>
      <c r="AK486" s="627"/>
      <c r="AL486" s="627"/>
    </row>
    <row r="487" spans="1:38" ht="11.1" customHeight="1" x14ac:dyDescent="0.25">
      <c r="A487" s="630" t="s">
        <v>3809</v>
      </c>
      <c r="B487" s="630"/>
      <c r="C487" s="630"/>
      <c r="L487" s="630" t="s">
        <v>586</v>
      </c>
      <c r="M487" s="630"/>
      <c r="N487" s="630"/>
      <c r="O487" s="630"/>
      <c r="P487" s="630"/>
      <c r="Q487" s="627">
        <v>-46776.06</v>
      </c>
      <c r="R487" s="627"/>
      <c r="T487" s="631">
        <v>0</v>
      </c>
      <c r="U487" s="631"/>
      <c r="V487" s="631"/>
      <c r="Y487" s="631">
        <v>6532.9</v>
      </c>
      <c r="Z487" s="631"/>
      <c r="AA487" s="631"/>
      <c r="AB487" s="631"/>
      <c r="AC487" s="631"/>
      <c r="AD487" s="631"/>
      <c r="AF487" s="627">
        <v>-53308.959999999999</v>
      </c>
      <c r="AG487" s="627"/>
      <c r="AH487" s="627"/>
      <c r="AI487" s="627"/>
      <c r="AJ487" s="627"/>
      <c r="AK487" s="627"/>
      <c r="AL487" s="627"/>
    </row>
    <row r="488" spans="1:38" ht="11.1" customHeight="1" x14ac:dyDescent="0.25">
      <c r="A488" s="630" t="s">
        <v>3810</v>
      </c>
      <c r="B488" s="630"/>
      <c r="C488" s="630"/>
      <c r="M488" s="630" t="s">
        <v>869</v>
      </c>
      <c r="N488" s="630"/>
      <c r="O488" s="630"/>
      <c r="P488" s="630"/>
      <c r="Q488" s="627">
        <v>-46776.06</v>
      </c>
      <c r="R488" s="627"/>
      <c r="T488" s="631">
        <v>0</v>
      </c>
      <c r="U488" s="631"/>
      <c r="V488" s="631"/>
      <c r="Y488" s="631">
        <v>6532.9</v>
      </c>
      <c r="Z488" s="631"/>
      <c r="AA488" s="631"/>
      <c r="AB488" s="631"/>
      <c r="AC488" s="631"/>
      <c r="AD488" s="631"/>
      <c r="AF488" s="627">
        <v>-53308.959999999999</v>
      </c>
      <c r="AG488" s="627"/>
      <c r="AH488" s="627"/>
      <c r="AI488" s="627"/>
      <c r="AJ488" s="627"/>
      <c r="AK488" s="627"/>
      <c r="AL488" s="627"/>
    </row>
    <row r="489" spans="1:38" ht="11.1" customHeight="1" x14ac:dyDescent="0.25">
      <c r="A489" s="630" t="s">
        <v>3811</v>
      </c>
      <c r="B489" s="630"/>
      <c r="C489" s="630"/>
      <c r="L489" s="630" t="s">
        <v>302</v>
      </c>
      <c r="M489" s="630"/>
      <c r="N489" s="630"/>
      <c r="O489" s="630"/>
      <c r="P489" s="630"/>
      <c r="Q489" s="627">
        <v>-48624.43</v>
      </c>
      <c r="R489" s="627"/>
      <c r="T489" s="631">
        <v>0</v>
      </c>
      <c r="U489" s="631"/>
      <c r="V489" s="631"/>
      <c r="Y489" s="631">
        <v>68.400000000000006</v>
      </c>
      <c r="Z489" s="631"/>
      <c r="AA489" s="631"/>
      <c r="AB489" s="631"/>
      <c r="AC489" s="631"/>
      <c r="AD489" s="631"/>
      <c r="AF489" s="627">
        <v>-48692.83</v>
      </c>
      <c r="AG489" s="627"/>
      <c r="AH489" s="627"/>
      <c r="AI489" s="627"/>
      <c r="AJ489" s="627"/>
      <c r="AK489" s="627"/>
      <c r="AL489" s="627"/>
    </row>
    <row r="490" spans="1:38" ht="11.1" customHeight="1" x14ac:dyDescent="0.25">
      <c r="A490" s="630" t="s">
        <v>3812</v>
      </c>
      <c r="B490" s="630"/>
      <c r="C490" s="630"/>
      <c r="M490" s="630" t="s">
        <v>855</v>
      </c>
      <c r="N490" s="630"/>
      <c r="O490" s="630"/>
      <c r="P490" s="630"/>
      <c r="Q490" s="627">
        <v>-48624.43</v>
      </c>
      <c r="R490" s="627"/>
      <c r="T490" s="631">
        <v>0</v>
      </c>
      <c r="U490" s="631"/>
      <c r="V490" s="631"/>
      <c r="Y490" s="631">
        <v>68.400000000000006</v>
      </c>
      <c r="Z490" s="631"/>
      <c r="AA490" s="631"/>
      <c r="AB490" s="631"/>
      <c r="AC490" s="631"/>
      <c r="AD490" s="631"/>
      <c r="AF490" s="627">
        <v>-48692.83</v>
      </c>
      <c r="AG490" s="627"/>
      <c r="AH490" s="627"/>
      <c r="AI490" s="627"/>
      <c r="AJ490" s="627"/>
      <c r="AK490" s="627"/>
      <c r="AL490" s="627"/>
    </row>
    <row r="491" spans="1:38" ht="11.1" customHeight="1" x14ac:dyDescent="0.25">
      <c r="A491" s="630" t="s">
        <v>3813</v>
      </c>
      <c r="B491" s="630"/>
      <c r="C491" s="630"/>
      <c r="L491" s="630" t="s">
        <v>591</v>
      </c>
      <c r="M491" s="630"/>
      <c r="N491" s="630"/>
      <c r="O491" s="630"/>
      <c r="P491" s="630"/>
      <c r="Q491" s="627">
        <v>-255356.5</v>
      </c>
      <c r="R491" s="627"/>
      <c r="T491" s="631">
        <v>0</v>
      </c>
      <c r="U491" s="631"/>
      <c r="V491" s="631"/>
      <c r="Y491" s="631">
        <v>3807.24</v>
      </c>
      <c r="Z491" s="631"/>
      <c r="AA491" s="631"/>
      <c r="AB491" s="631"/>
      <c r="AC491" s="631"/>
      <c r="AD491" s="631"/>
      <c r="AF491" s="627">
        <v>-259163.74</v>
      </c>
      <c r="AG491" s="627"/>
      <c r="AH491" s="627"/>
      <c r="AI491" s="627"/>
      <c r="AJ491" s="627"/>
      <c r="AK491" s="627"/>
      <c r="AL491" s="627"/>
    </row>
    <row r="492" spans="1:38" ht="11.1" customHeight="1" x14ac:dyDescent="0.25">
      <c r="A492" s="630" t="s">
        <v>3814</v>
      </c>
      <c r="B492" s="630"/>
      <c r="C492" s="630"/>
      <c r="M492" s="630" t="s">
        <v>869</v>
      </c>
      <c r="N492" s="630"/>
      <c r="O492" s="630"/>
      <c r="P492" s="630"/>
      <c r="Q492" s="627">
        <v>-228705.84</v>
      </c>
      <c r="R492" s="627"/>
      <c r="T492" s="631">
        <v>0</v>
      </c>
      <c r="U492" s="631"/>
      <c r="V492" s="631"/>
      <c r="Y492" s="631">
        <v>0</v>
      </c>
      <c r="Z492" s="631"/>
      <c r="AA492" s="631"/>
      <c r="AB492" s="631"/>
      <c r="AC492" s="631"/>
      <c r="AD492" s="631"/>
      <c r="AF492" s="627">
        <v>-228705.84</v>
      </c>
      <c r="AG492" s="627"/>
      <c r="AH492" s="627"/>
      <c r="AI492" s="627"/>
      <c r="AJ492" s="627"/>
      <c r="AK492" s="627"/>
      <c r="AL492" s="627"/>
    </row>
    <row r="493" spans="1:38" ht="11.1" customHeight="1" x14ac:dyDescent="0.25">
      <c r="A493" s="630" t="s">
        <v>3815</v>
      </c>
      <c r="B493" s="630"/>
      <c r="C493" s="630"/>
      <c r="M493" s="630" t="s">
        <v>2829</v>
      </c>
      <c r="N493" s="630"/>
      <c r="O493" s="630"/>
      <c r="P493" s="630"/>
      <c r="Q493" s="627">
        <v>-26650.66</v>
      </c>
      <c r="R493" s="627"/>
      <c r="T493" s="631">
        <v>0</v>
      </c>
      <c r="U493" s="631"/>
      <c r="V493" s="631"/>
      <c r="Y493" s="631">
        <v>3807.24</v>
      </c>
      <c r="Z493" s="631"/>
      <c r="AA493" s="631"/>
      <c r="AB493" s="631"/>
      <c r="AC493" s="631"/>
      <c r="AD493" s="631"/>
      <c r="AF493" s="627">
        <v>-30457.9</v>
      </c>
      <c r="AG493" s="627"/>
      <c r="AH493" s="627"/>
      <c r="AI493" s="627"/>
      <c r="AJ493" s="627"/>
      <c r="AK493" s="627"/>
      <c r="AL493" s="627"/>
    </row>
    <row r="494" spans="1:38" ht="11.1" customHeight="1" x14ac:dyDescent="0.25">
      <c r="A494" s="632" t="s">
        <v>3816</v>
      </c>
      <c r="B494" s="632"/>
      <c r="C494" s="632"/>
      <c r="J494" s="632" t="s">
        <v>751</v>
      </c>
      <c r="K494" s="632"/>
      <c r="L494" s="632"/>
      <c r="M494" s="632"/>
      <c r="N494" s="632"/>
      <c r="O494" s="632"/>
      <c r="P494" s="632"/>
      <c r="Q494" s="633">
        <v>-141035.28</v>
      </c>
      <c r="R494" s="633"/>
      <c r="T494" s="634">
        <v>0</v>
      </c>
      <c r="U494" s="634"/>
      <c r="V494" s="634"/>
      <c r="Y494" s="634">
        <v>0</v>
      </c>
      <c r="Z494" s="634"/>
      <c r="AA494" s="634"/>
      <c r="AB494" s="634"/>
      <c r="AC494" s="634"/>
      <c r="AD494" s="634"/>
      <c r="AF494" s="633">
        <v>-141035.28</v>
      </c>
      <c r="AG494" s="633"/>
      <c r="AH494" s="633"/>
      <c r="AI494" s="633"/>
      <c r="AJ494" s="633"/>
      <c r="AK494" s="633"/>
      <c r="AL494" s="633"/>
    </row>
    <row r="495" spans="1:38" ht="11.1" customHeight="1" x14ac:dyDescent="0.25">
      <c r="A495" s="630" t="s">
        <v>3817</v>
      </c>
      <c r="B495" s="630"/>
      <c r="C495" s="630"/>
      <c r="K495" s="630" t="s">
        <v>331</v>
      </c>
      <c r="L495" s="630"/>
      <c r="M495" s="630"/>
      <c r="N495" s="630"/>
      <c r="O495" s="630"/>
      <c r="P495" s="630"/>
      <c r="Q495" s="627">
        <v>-141035.28</v>
      </c>
      <c r="R495" s="627"/>
      <c r="T495" s="631">
        <v>0</v>
      </c>
      <c r="U495" s="631"/>
      <c r="V495" s="631"/>
      <c r="Y495" s="631">
        <v>0</v>
      </c>
      <c r="Z495" s="631"/>
      <c r="AA495" s="631"/>
      <c r="AB495" s="631"/>
      <c r="AC495" s="631"/>
      <c r="AD495" s="631"/>
      <c r="AF495" s="627">
        <v>-141035.28</v>
      </c>
      <c r="AG495" s="627"/>
      <c r="AH495" s="627"/>
      <c r="AI495" s="627"/>
      <c r="AJ495" s="627"/>
      <c r="AK495" s="627"/>
      <c r="AL495" s="627"/>
    </row>
    <row r="496" spans="1:38" ht="11.1" customHeight="1" x14ac:dyDescent="0.25">
      <c r="A496" s="630" t="s">
        <v>3818</v>
      </c>
      <c r="B496" s="630"/>
      <c r="C496" s="630"/>
      <c r="L496" s="630" t="s">
        <v>591</v>
      </c>
      <c r="M496" s="630"/>
      <c r="N496" s="630"/>
      <c r="O496" s="630"/>
      <c r="P496" s="630"/>
      <c r="Q496" s="627">
        <v>-141035.28</v>
      </c>
      <c r="R496" s="627"/>
      <c r="T496" s="631">
        <v>0</v>
      </c>
      <c r="U496" s="631"/>
      <c r="V496" s="631"/>
      <c r="Y496" s="631">
        <v>0</v>
      </c>
      <c r="Z496" s="631"/>
      <c r="AA496" s="631"/>
      <c r="AB496" s="631"/>
      <c r="AC496" s="631"/>
      <c r="AD496" s="631"/>
      <c r="AF496" s="627">
        <v>-141035.28</v>
      </c>
      <c r="AG496" s="627"/>
      <c r="AH496" s="627"/>
      <c r="AI496" s="627"/>
      <c r="AJ496" s="627"/>
      <c r="AK496" s="627"/>
      <c r="AL496" s="627"/>
    </row>
    <row r="497" spans="1:38" ht="11.1" customHeight="1" x14ac:dyDescent="0.25">
      <c r="A497" s="630" t="s">
        <v>3819</v>
      </c>
      <c r="B497" s="630"/>
      <c r="C497" s="630"/>
      <c r="M497" s="630" t="s">
        <v>878</v>
      </c>
      <c r="N497" s="630"/>
      <c r="O497" s="630"/>
      <c r="P497" s="630"/>
      <c r="Q497" s="627">
        <v>-141035.28</v>
      </c>
      <c r="R497" s="627"/>
      <c r="T497" s="631">
        <v>0</v>
      </c>
      <c r="U497" s="631"/>
      <c r="V497" s="631"/>
      <c r="Y497" s="631">
        <v>0</v>
      </c>
      <c r="Z497" s="631"/>
      <c r="AA497" s="631"/>
      <c r="AB497" s="631"/>
      <c r="AC497" s="631"/>
      <c r="AD497" s="631"/>
      <c r="AF497" s="627">
        <v>-141035.28</v>
      </c>
      <c r="AG497" s="627"/>
      <c r="AH497" s="627"/>
      <c r="AI497" s="627"/>
      <c r="AJ497" s="627"/>
      <c r="AK497" s="627"/>
      <c r="AL497" s="627"/>
    </row>
    <row r="498" spans="1:38" ht="11.1" customHeight="1" x14ac:dyDescent="0.25">
      <c r="A498" s="632" t="s">
        <v>3820</v>
      </c>
      <c r="B498" s="632"/>
      <c r="C498" s="632"/>
      <c r="J498" s="632" t="s">
        <v>880</v>
      </c>
      <c r="K498" s="632"/>
      <c r="L498" s="632"/>
      <c r="M498" s="632"/>
      <c r="N498" s="632"/>
      <c r="O498" s="632"/>
      <c r="P498" s="632"/>
      <c r="Q498" s="633">
        <v>141035.28</v>
      </c>
      <c r="R498" s="633"/>
      <c r="T498" s="634">
        <v>0</v>
      </c>
      <c r="U498" s="634"/>
      <c r="V498" s="634"/>
      <c r="Y498" s="634">
        <v>0</v>
      </c>
      <c r="Z498" s="634"/>
      <c r="AA498" s="634"/>
      <c r="AB498" s="634"/>
      <c r="AC498" s="634"/>
      <c r="AD498" s="634"/>
      <c r="AF498" s="633">
        <v>141035.28</v>
      </c>
      <c r="AG498" s="633"/>
      <c r="AH498" s="633"/>
      <c r="AI498" s="633"/>
      <c r="AJ498" s="633"/>
      <c r="AK498" s="633"/>
      <c r="AL498" s="633"/>
    </row>
    <row r="499" spans="1:38" ht="11.1" customHeight="1" x14ac:dyDescent="0.25">
      <c r="A499" s="630" t="s">
        <v>3821</v>
      </c>
      <c r="B499" s="630"/>
      <c r="C499" s="630"/>
      <c r="K499" s="630" t="s">
        <v>331</v>
      </c>
      <c r="L499" s="630"/>
      <c r="M499" s="630"/>
      <c r="N499" s="630"/>
      <c r="O499" s="630"/>
      <c r="P499" s="630"/>
      <c r="Q499" s="627">
        <v>141035.28</v>
      </c>
      <c r="R499" s="627"/>
      <c r="T499" s="631">
        <v>0</v>
      </c>
      <c r="U499" s="631"/>
      <c r="V499" s="631"/>
      <c r="Y499" s="631">
        <v>0</v>
      </c>
      <c r="Z499" s="631"/>
      <c r="AA499" s="631"/>
      <c r="AB499" s="631"/>
      <c r="AC499" s="631"/>
      <c r="AD499" s="631"/>
      <c r="AF499" s="627">
        <v>141035.28</v>
      </c>
      <c r="AG499" s="627"/>
      <c r="AH499" s="627"/>
      <c r="AI499" s="627"/>
      <c r="AJ499" s="627"/>
      <c r="AK499" s="627"/>
      <c r="AL499" s="627"/>
    </row>
    <row r="500" spans="1:38" ht="11.1" customHeight="1" x14ac:dyDescent="0.25">
      <c r="A500" s="630" t="s">
        <v>3822</v>
      </c>
      <c r="B500" s="630"/>
      <c r="C500" s="630"/>
      <c r="L500" s="630" t="s">
        <v>591</v>
      </c>
      <c r="M500" s="630"/>
      <c r="N500" s="630"/>
      <c r="O500" s="630"/>
      <c r="P500" s="630"/>
      <c r="Q500" s="627">
        <v>141035.28</v>
      </c>
      <c r="R500" s="627"/>
      <c r="T500" s="631">
        <v>0</v>
      </c>
      <c r="U500" s="631"/>
      <c r="V500" s="631"/>
      <c r="Y500" s="631">
        <v>0</v>
      </c>
      <c r="Z500" s="631"/>
      <c r="AA500" s="631"/>
      <c r="AB500" s="631"/>
      <c r="AC500" s="631"/>
      <c r="AD500" s="631"/>
      <c r="AF500" s="627">
        <v>141035.28</v>
      </c>
      <c r="AG500" s="627"/>
      <c r="AH500" s="627"/>
      <c r="AI500" s="627"/>
      <c r="AJ500" s="627"/>
      <c r="AK500" s="627"/>
      <c r="AL500" s="627"/>
    </row>
    <row r="501" spans="1:38" ht="11.1" customHeight="1" x14ac:dyDescent="0.25">
      <c r="A501" s="630" t="s">
        <v>3823</v>
      </c>
      <c r="B501" s="630"/>
      <c r="C501" s="630"/>
      <c r="M501" s="630" t="s">
        <v>884</v>
      </c>
      <c r="N501" s="630"/>
      <c r="O501" s="630"/>
      <c r="P501" s="630"/>
      <c r="Q501" s="627">
        <v>141035.28</v>
      </c>
      <c r="R501" s="627"/>
      <c r="T501" s="631">
        <v>0</v>
      </c>
      <c r="U501" s="631"/>
      <c r="V501" s="631"/>
      <c r="Y501" s="631">
        <v>0</v>
      </c>
      <c r="Z501" s="631"/>
      <c r="AA501" s="631"/>
      <c r="AB501" s="631"/>
      <c r="AC501" s="631"/>
      <c r="AD501" s="631"/>
      <c r="AF501" s="627">
        <v>141035.28</v>
      </c>
      <c r="AG501" s="627"/>
      <c r="AH501" s="627"/>
      <c r="AI501" s="627"/>
      <c r="AJ501" s="627"/>
      <c r="AK501" s="627"/>
      <c r="AL501" s="627"/>
    </row>
    <row r="502" spans="1:38" ht="11.1" customHeight="1" x14ac:dyDescent="0.25">
      <c r="A502" s="632" t="s">
        <v>3824</v>
      </c>
      <c r="B502" s="632"/>
      <c r="C502" s="632"/>
      <c r="I502" s="632" t="s">
        <v>2439</v>
      </c>
      <c r="J502" s="632"/>
      <c r="K502" s="632"/>
      <c r="L502" s="632"/>
      <c r="M502" s="632"/>
      <c r="N502" s="632"/>
      <c r="O502" s="632"/>
      <c r="P502" s="632"/>
      <c r="Q502" s="633">
        <v>5504</v>
      </c>
      <c r="R502" s="633"/>
      <c r="T502" s="634">
        <v>0</v>
      </c>
      <c r="U502" s="634"/>
      <c r="V502" s="634"/>
      <c r="Y502" s="634">
        <v>0</v>
      </c>
      <c r="Z502" s="634"/>
      <c r="AA502" s="634"/>
      <c r="AB502" s="634"/>
      <c r="AC502" s="634"/>
      <c r="AD502" s="634"/>
      <c r="AF502" s="633">
        <v>5504</v>
      </c>
      <c r="AG502" s="633"/>
      <c r="AH502" s="633"/>
      <c r="AI502" s="633"/>
      <c r="AJ502" s="633"/>
      <c r="AK502" s="633"/>
      <c r="AL502" s="633"/>
    </row>
    <row r="503" spans="1:38" ht="11.1" customHeight="1" x14ac:dyDescent="0.25">
      <c r="A503" s="632" t="s">
        <v>3825</v>
      </c>
      <c r="B503" s="632"/>
      <c r="C503" s="632"/>
      <c r="J503" s="632" t="s">
        <v>2441</v>
      </c>
      <c r="K503" s="632"/>
      <c r="L503" s="632"/>
      <c r="M503" s="632"/>
      <c r="N503" s="632"/>
      <c r="O503" s="632"/>
      <c r="P503" s="632"/>
      <c r="Q503" s="633">
        <v>5504</v>
      </c>
      <c r="R503" s="633"/>
      <c r="T503" s="634">
        <v>0</v>
      </c>
      <c r="U503" s="634"/>
      <c r="V503" s="634"/>
      <c r="Y503" s="634">
        <v>0</v>
      </c>
      <c r="Z503" s="634"/>
      <c r="AA503" s="634"/>
      <c r="AB503" s="634"/>
      <c r="AC503" s="634"/>
      <c r="AD503" s="634"/>
      <c r="AF503" s="633">
        <v>5504</v>
      </c>
      <c r="AG503" s="633"/>
      <c r="AH503" s="633"/>
      <c r="AI503" s="633"/>
      <c r="AJ503" s="633"/>
      <c r="AK503" s="633"/>
      <c r="AL503" s="633"/>
    </row>
    <row r="504" spans="1:38" ht="11.1" customHeight="1" x14ac:dyDescent="0.25">
      <c r="A504" s="630" t="s">
        <v>3826</v>
      </c>
      <c r="B504" s="630"/>
      <c r="C504" s="630"/>
      <c r="K504" s="630" t="s">
        <v>2443</v>
      </c>
      <c r="L504" s="630"/>
      <c r="M504" s="630"/>
      <c r="N504" s="630"/>
      <c r="O504" s="630"/>
      <c r="P504" s="630"/>
      <c r="Q504" s="627">
        <v>5504</v>
      </c>
      <c r="R504" s="627"/>
      <c r="T504" s="631">
        <v>0</v>
      </c>
      <c r="U504" s="631"/>
      <c r="V504" s="631"/>
      <c r="Y504" s="631">
        <v>0</v>
      </c>
      <c r="Z504" s="631"/>
      <c r="AA504" s="631"/>
      <c r="AB504" s="631"/>
      <c r="AC504" s="631"/>
      <c r="AD504" s="631"/>
      <c r="AF504" s="627">
        <v>5504</v>
      </c>
      <c r="AG504" s="627"/>
      <c r="AH504" s="627"/>
      <c r="AI504" s="627"/>
      <c r="AJ504" s="627"/>
      <c r="AK504" s="627"/>
      <c r="AL504" s="627"/>
    </row>
    <row r="505" spans="1:38" ht="11.1" customHeight="1" x14ac:dyDescent="0.25">
      <c r="A505" s="630" t="s">
        <v>3827</v>
      </c>
      <c r="B505" s="630"/>
      <c r="C505" s="630"/>
      <c r="M505" s="630" t="s">
        <v>2445</v>
      </c>
      <c r="N505" s="630"/>
      <c r="O505" s="630"/>
      <c r="P505" s="630"/>
      <c r="Q505" s="627">
        <v>5504</v>
      </c>
      <c r="R505" s="627"/>
      <c r="T505" s="631">
        <v>0</v>
      </c>
      <c r="U505" s="631"/>
      <c r="V505" s="631"/>
      <c r="Y505" s="631">
        <v>0</v>
      </c>
      <c r="Z505" s="631"/>
      <c r="AA505" s="631"/>
      <c r="AB505" s="631"/>
      <c r="AC505" s="631"/>
      <c r="AD505" s="631"/>
      <c r="AF505" s="627">
        <v>5504</v>
      </c>
      <c r="AG505" s="627"/>
      <c r="AH505" s="627"/>
      <c r="AI505" s="627"/>
      <c r="AJ505" s="627"/>
      <c r="AK505" s="627"/>
      <c r="AL505" s="627"/>
    </row>
    <row r="506" spans="1:38" ht="11.1" customHeight="1" x14ac:dyDescent="0.25">
      <c r="A506" s="632" t="s">
        <v>3828</v>
      </c>
      <c r="B506" s="632"/>
      <c r="C506" s="632"/>
      <c r="I506" s="632" t="s">
        <v>793</v>
      </c>
      <c r="J506" s="632"/>
      <c r="K506" s="632"/>
      <c r="L506" s="632"/>
      <c r="M506" s="632"/>
      <c r="N506" s="632"/>
      <c r="O506" s="632"/>
      <c r="P506" s="632"/>
      <c r="Q506" s="633">
        <v>35125</v>
      </c>
      <c r="R506" s="633"/>
      <c r="T506" s="634">
        <v>0</v>
      </c>
      <c r="U506" s="634"/>
      <c r="V506" s="634"/>
      <c r="Y506" s="634">
        <v>1170.83</v>
      </c>
      <c r="Z506" s="634"/>
      <c r="AA506" s="634"/>
      <c r="AB506" s="634"/>
      <c r="AC506" s="634"/>
      <c r="AD506" s="634"/>
      <c r="AF506" s="633">
        <v>33954.17</v>
      </c>
      <c r="AG506" s="633"/>
      <c r="AH506" s="633"/>
      <c r="AI506" s="633"/>
      <c r="AJ506" s="633"/>
      <c r="AK506" s="633"/>
      <c r="AL506" s="633"/>
    </row>
    <row r="507" spans="1:38" ht="11.1" customHeight="1" x14ac:dyDescent="0.25">
      <c r="A507" s="632" t="s">
        <v>3829</v>
      </c>
      <c r="B507" s="632"/>
      <c r="C507" s="632"/>
      <c r="J507" s="632" t="s">
        <v>887</v>
      </c>
      <c r="K507" s="632"/>
      <c r="L507" s="632"/>
      <c r="M507" s="632"/>
      <c r="N507" s="632"/>
      <c r="O507" s="632"/>
      <c r="P507" s="632"/>
      <c r="Q507" s="633">
        <v>290632.57</v>
      </c>
      <c r="R507" s="633"/>
      <c r="T507" s="634">
        <v>0</v>
      </c>
      <c r="U507" s="634"/>
      <c r="V507" s="634"/>
      <c r="Y507" s="634">
        <v>0</v>
      </c>
      <c r="Z507" s="634"/>
      <c r="AA507" s="634"/>
      <c r="AB507" s="634"/>
      <c r="AC507" s="634"/>
      <c r="AD507" s="634"/>
      <c r="AF507" s="633">
        <v>290632.57</v>
      </c>
      <c r="AG507" s="633"/>
      <c r="AH507" s="633"/>
      <c r="AI507" s="633"/>
      <c r="AJ507" s="633"/>
      <c r="AK507" s="633"/>
      <c r="AL507" s="633"/>
    </row>
    <row r="508" spans="1:38" ht="11.1" customHeight="1" x14ac:dyDescent="0.25">
      <c r="A508" s="630" t="s">
        <v>3830</v>
      </c>
      <c r="B508" s="630"/>
      <c r="C508" s="630"/>
      <c r="K508" s="630" t="s">
        <v>852</v>
      </c>
      <c r="L508" s="630"/>
      <c r="M508" s="630"/>
      <c r="N508" s="630"/>
      <c r="O508" s="630"/>
      <c r="P508" s="630"/>
      <c r="Q508" s="627">
        <v>290632.57</v>
      </c>
      <c r="R508" s="627"/>
      <c r="T508" s="631">
        <v>0</v>
      </c>
      <c r="U508" s="631"/>
      <c r="V508" s="631"/>
      <c r="Y508" s="631">
        <v>0</v>
      </c>
      <c r="Z508" s="631"/>
      <c r="AA508" s="631"/>
      <c r="AB508" s="631"/>
      <c r="AC508" s="631"/>
      <c r="AD508" s="631"/>
      <c r="AF508" s="627">
        <v>290632.57</v>
      </c>
      <c r="AG508" s="627"/>
      <c r="AH508" s="627"/>
      <c r="AI508" s="627"/>
      <c r="AJ508" s="627"/>
      <c r="AK508" s="627"/>
      <c r="AL508" s="627"/>
    </row>
    <row r="509" spans="1:38" ht="11.1" customHeight="1" x14ac:dyDescent="0.25">
      <c r="A509" s="630" t="s">
        <v>3831</v>
      </c>
      <c r="B509" s="630"/>
      <c r="C509" s="630"/>
      <c r="L509" s="630" t="s">
        <v>335</v>
      </c>
      <c r="M509" s="630"/>
      <c r="N509" s="630"/>
      <c r="O509" s="630"/>
      <c r="P509" s="630"/>
      <c r="Q509" s="627">
        <v>290632.57</v>
      </c>
      <c r="R509" s="627"/>
      <c r="T509" s="631">
        <v>0</v>
      </c>
      <c r="U509" s="631"/>
      <c r="V509" s="631"/>
      <c r="Y509" s="631">
        <v>0</v>
      </c>
      <c r="Z509" s="631"/>
      <c r="AA509" s="631"/>
      <c r="AB509" s="631"/>
      <c r="AC509" s="631"/>
      <c r="AD509" s="631"/>
      <c r="AF509" s="627">
        <v>290632.57</v>
      </c>
      <c r="AG509" s="627"/>
      <c r="AH509" s="627"/>
      <c r="AI509" s="627"/>
      <c r="AJ509" s="627"/>
      <c r="AK509" s="627"/>
      <c r="AL509" s="627"/>
    </row>
    <row r="510" spans="1:38" ht="11.1" customHeight="1" x14ac:dyDescent="0.25">
      <c r="A510" s="630" t="s">
        <v>3832</v>
      </c>
      <c r="B510" s="630"/>
      <c r="C510" s="630"/>
      <c r="M510" s="630" t="s">
        <v>852</v>
      </c>
      <c r="N510" s="630"/>
      <c r="O510" s="630"/>
      <c r="P510" s="630"/>
      <c r="Q510" s="627">
        <v>290632.57</v>
      </c>
      <c r="R510" s="627"/>
      <c r="T510" s="631">
        <v>0</v>
      </c>
      <c r="U510" s="631"/>
      <c r="V510" s="631"/>
      <c r="Y510" s="631">
        <v>0</v>
      </c>
      <c r="Z510" s="631"/>
      <c r="AA510" s="631"/>
      <c r="AB510" s="631"/>
      <c r="AC510" s="631"/>
      <c r="AD510" s="631"/>
      <c r="AF510" s="627">
        <v>290632.57</v>
      </c>
      <c r="AG510" s="627"/>
      <c r="AH510" s="627"/>
      <c r="AI510" s="627"/>
      <c r="AJ510" s="627"/>
      <c r="AK510" s="627"/>
      <c r="AL510" s="627"/>
    </row>
    <row r="511" spans="1:38" ht="11.1" customHeight="1" x14ac:dyDescent="0.25">
      <c r="A511" s="632" t="s">
        <v>3833</v>
      </c>
      <c r="B511" s="632"/>
      <c r="C511" s="632"/>
      <c r="J511" s="632" t="s">
        <v>892</v>
      </c>
      <c r="K511" s="632"/>
      <c r="L511" s="632"/>
      <c r="M511" s="632"/>
      <c r="N511" s="632"/>
      <c r="O511" s="632"/>
      <c r="P511" s="632"/>
      <c r="Q511" s="633">
        <v>-255507.57</v>
      </c>
      <c r="R511" s="633"/>
      <c r="T511" s="634">
        <v>0</v>
      </c>
      <c r="U511" s="634"/>
      <c r="V511" s="634"/>
      <c r="Y511" s="634">
        <v>1170.83</v>
      </c>
      <c r="Z511" s="634"/>
      <c r="AA511" s="634"/>
      <c r="AB511" s="634"/>
      <c r="AC511" s="634"/>
      <c r="AD511" s="634"/>
      <c r="AF511" s="633">
        <v>-256678.39999999999</v>
      </c>
      <c r="AG511" s="633"/>
      <c r="AH511" s="633"/>
      <c r="AI511" s="633"/>
      <c r="AJ511" s="633"/>
      <c r="AK511" s="633"/>
      <c r="AL511" s="633"/>
    </row>
    <row r="512" spans="1:38" ht="11.1" customHeight="1" x14ac:dyDescent="0.25">
      <c r="A512" s="630" t="s">
        <v>3834</v>
      </c>
      <c r="B512" s="630"/>
      <c r="C512" s="630"/>
      <c r="K512" s="630" t="s">
        <v>852</v>
      </c>
      <c r="L512" s="630"/>
      <c r="M512" s="630"/>
      <c r="N512" s="630"/>
      <c r="O512" s="630"/>
      <c r="P512" s="630"/>
      <c r="Q512" s="627">
        <v>-255507.57</v>
      </c>
      <c r="R512" s="627"/>
      <c r="T512" s="631">
        <v>0</v>
      </c>
      <c r="U512" s="631"/>
      <c r="V512" s="631"/>
      <c r="Y512" s="631">
        <v>1170.83</v>
      </c>
      <c r="Z512" s="631"/>
      <c r="AA512" s="631"/>
      <c r="AB512" s="631"/>
      <c r="AC512" s="631"/>
      <c r="AD512" s="631"/>
      <c r="AF512" s="627">
        <v>-256678.39999999999</v>
      </c>
      <c r="AG512" s="627"/>
      <c r="AH512" s="627"/>
      <c r="AI512" s="627"/>
      <c r="AJ512" s="627"/>
      <c r="AK512" s="627"/>
      <c r="AL512" s="627"/>
    </row>
    <row r="513" spans="1:38" ht="11.1" customHeight="1" x14ac:dyDescent="0.25">
      <c r="A513" s="630" t="s">
        <v>3835</v>
      </c>
      <c r="B513" s="630"/>
      <c r="C513" s="630"/>
      <c r="L513" s="630" t="s">
        <v>335</v>
      </c>
      <c r="M513" s="630"/>
      <c r="N513" s="630"/>
      <c r="O513" s="630"/>
      <c r="P513" s="630"/>
      <c r="Q513" s="627">
        <v>-255507.57</v>
      </c>
      <c r="R513" s="627"/>
      <c r="T513" s="631">
        <v>0</v>
      </c>
      <c r="U513" s="631"/>
      <c r="V513" s="631"/>
      <c r="Y513" s="631">
        <v>1170.83</v>
      </c>
      <c r="Z513" s="631"/>
      <c r="AA513" s="631"/>
      <c r="AB513" s="631"/>
      <c r="AC513" s="631"/>
      <c r="AD513" s="631"/>
      <c r="AF513" s="627">
        <v>-256678.39999999999</v>
      </c>
      <c r="AG513" s="627"/>
      <c r="AH513" s="627"/>
      <c r="AI513" s="627"/>
      <c r="AJ513" s="627"/>
      <c r="AK513" s="627"/>
      <c r="AL513" s="627"/>
    </row>
    <row r="514" spans="1:38" ht="11.1" customHeight="1" x14ac:dyDescent="0.25">
      <c r="A514" s="630" t="s">
        <v>3836</v>
      </c>
      <c r="B514" s="630"/>
      <c r="C514" s="630"/>
      <c r="M514" s="630" t="s">
        <v>852</v>
      </c>
      <c r="N514" s="630"/>
      <c r="O514" s="630"/>
      <c r="P514" s="630"/>
      <c r="Q514" s="627">
        <v>-255507.57</v>
      </c>
      <c r="R514" s="627"/>
      <c r="T514" s="631">
        <v>0</v>
      </c>
      <c r="U514" s="631"/>
      <c r="V514" s="631"/>
      <c r="Y514" s="631">
        <v>1170.83</v>
      </c>
      <c r="Z514" s="631"/>
      <c r="AA514" s="631"/>
      <c r="AB514" s="631"/>
      <c r="AC514" s="631"/>
      <c r="AD514" s="631"/>
      <c r="AF514" s="627">
        <v>-256678.39999999999</v>
      </c>
      <c r="AG514" s="627"/>
      <c r="AH514" s="627"/>
      <c r="AI514" s="627"/>
      <c r="AJ514" s="627"/>
      <c r="AK514" s="627"/>
      <c r="AL514" s="627"/>
    </row>
    <row r="515" spans="1:38" ht="11.1" customHeight="1" x14ac:dyDescent="0.25">
      <c r="A515" s="632" t="s">
        <v>3837</v>
      </c>
      <c r="B515" s="632"/>
      <c r="C515" s="632"/>
      <c r="H515" s="632" t="s">
        <v>897</v>
      </c>
      <c r="I515" s="632"/>
      <c r="J515" s="632"/>
      <c r="K515" s="632"/>
      <c r="L515" s="632"/>
      <c r="M515" s="632"/>
      <c r="N515" s="632"/>
      <c r="O515" s="632"/>
      <c r="P515" s="632"/>
      <c r="Q515" s="633">
        <v>-505083409.85000002</v>
      </c>
      <c r="R515" s="633"/>
      <c r="T515" s="634">
        <v>73787733.040000007</v>
      </c>
      <c r="U515" s="634"/>
      <c r="V515" s="634"/>
      <c r="Y515" s="634">
        <v>59400873.43</v>
      </c>
      <c r="Z515" s="634"/>
      <c r="AA515" s="634"/>
      <c r="AB515" s="634"/>
      <c r="AC515" s="634"/>
      <c r="AD515" s="634"/>
      <c r="AF515" s="633">
        <v>-490696550.24000001</v>
      </c>
      <c r="AG515" s="633"/>
      <c r="AH515" s="633"/>
      <c r="AI515" s="633"/>
      <c r="AJ515" s="633"/>
      <c r="AK515" s="633"/>
      <c r="AL515" s="633"/>
    </row>
    <row r="516" spans="1:38" ht="11.1" customHeight="1" x14ac:dyDescent="0.25">
      <c r="A516" s="632" t="s">
        <v>3838</v>
      </c>
      <c r="B516" s="632"/>
      <c r="C516" s="632"/>
      <c r="H516" s="632" t="s">
        <v>899</v>
      </c>
      <c r="I516" s="632"/>
      <c r="J516" s="632"/>
      <c r="K516" s="632"/>
      <c r="L516" s="632"/>
      <c r="M516" s="632"/>
      <c r="N516" s="632"/>
      <c r="O516" s="632"/>
      <c r="P516" s="632"/>
      <c r="Q516" s="633">
        <v>-21122214.27</v>
      </c>
      <c r="R516" s="633"/>
      <c r="T516" s="634">
        <v>29429913.5</v>
      </c>
      <c r="U516" s="634"/>
      <c r="V516" s="634"/>
      <c r="Y516" s="634">
        <v>30472543.739999998</v>
      </c>
      <c r="Z516" s="634"/>
      <c r="AA516" s="634"/>
      <c r="AB516" s="634"/>
      <c r="AC516" s="634"/>
      <c r="AD516" s="634"/>
      <c r="AF516" s="633">
        <v>-22164844.510000002</v>
      </c>
      <c r="AG516" s="633"/>
      <c r="AH516" s="633"/>
      <c r="AI516" s="633"/>
      <c r="AJ516" s="633"/>
      <c r="AK516" s="633"/>
      <c r="AL516" s="633"/>
    </row>
    <row r="517" spans="1:38" ht="11.1" customHeight="1" x14ac:dyDescent="0.25">
      <c r="A517" s="632" t="s">
        <v>3839</v>
      </c>
      <c r="B517" s="632"/>
      <c r="C517" s="632"/>
      <c r="H517" s="632" t="s">
        <v>513</v>
      </c>
      <c r="I517" s="632"/>
      <c r="J517" s="632"/>
      <c r="K517" s="632"/>
      <c r="L517" s="632"/>
      <c r="M517" s="632"/>
      <c r="N517" s="632"/>
      <c r="O517" s="632"/>
      <c r="P517" s="632"/>
      <c r="Q517" s="633">
        <v>-6215436.4000000004</v>
      </c>
      <c r="R517" s="633"/>
      <c r="T517" s="634">
        <v>8594716.9000000004</v>
      </c>
      <c r="U517" s="634"/>
      <c r="V517" s="634"/>
      <c r="Y517" s="634">
        <v>7260610.4699999997</v>
      </c>
      <c r="Z517" s="634"/>
      <c r="AA517" s="634"/>
      <c r="AB517" s="634"/>
      <c r="AC517" s="634"/>
      <c r="AD517" s="634"/>
      <c r="AF517" s="633">
        <v>-4881329.97</v>
      </c>
      <c r="AG517" s="633"/>
      <c r="AH517" s="633"/>
      <c r="AI517" s="633"/>
      <c r="AJ517" s="633"/>
      <c r="AK517" s="633"/>
      <c r="AL517" s="633"/>
    </row>
    <row r="518" spans="1:38" ht="11.1" customHeight="1" x14ac:dyDescent="0.25">
      <c r="A518" s="632" t="s">
        <v>3840</v>
      </c>
      <c r="B518" s="632"/>
      <c r="C518" s="632"/>
      <c r="I518" s="632" t="s">
        <v>902</v>
      </c>
      <c r="J518" s="632"/>
      <c r="K518" s="632"/>
      <c r="L518" s="632"/>
      <c r="M518" s="632"/>
      <c r="N518" s="632"/>
      <c r="O518" s="632"/>
      <c r="P518" s="632"/>
      <c r="Q518" s="633">
        <v>-111003.82</v>
      </c>
      <c r="R518" s="633"/>
      <c r="T518" s="634">
        <v>40155.339999999997</v>
      </c>
      <c r="U518" s="634"/>
      <c r="V518" s="634"/>
      <c r="Y518" s="634">
        <v>40155.339999999997</v>
      </c>
      <c r="Z518" s="634"/>
      <c r="AA518" s="634"/>
      <c r="AB518" s="634"/>
      <c r="AC518" s="634"/>
      <c r="AD518" s="634"/>
      <c r="AF518" s="633">
        <v>-111003.82</v>
      </c>
      <c r="AG518" s="633"/>
      <c r="AH518" s="633"/>
      <c r="AI518" s="633"/>
      <c r="AJ518" s="633"/>
      <c r="AK518" s="633"/>
      <c r="AL518" s="633"/>
    </row>
    <row r="519" spans="1:38" ht="11.1" customHeight="1" x14ac:dyDescent="0.25">
      <c r="A519" s="632" t="s">
        <v>3841</v>
      </c>
      <c r="B519" s="632"/>
      <c r="C519" s="632"/>
      <c r="J519" s="632" t="s">
        <v>902</v>
      </c>
      <c r="K519" s="632"/>
      <c r="L519" s="632"/>
      <c r="M519" s="632"/>
      <c r="N519" s="632"/>
      <c r="O519" s="632"/>
      <c r="P519" s="632"/>
      <c r="Q519" s="633">
        <v>-111003.82</v>
      </c>
      <c r="R519" s="633"/>
      <c r="T519" s="634">
        <v>40155.339999999997</v>
      </c>
      <c r="U519" s="634"/>
      <c r="V519" s="634"/>
      <c r="Y519" s="634">
        <v>40155.339999999997</v>
      </c>
      <c r="Z519" s="634"/>
      <c r="AA519" s="634"/>
      <c r="AB519" s="634"/>
      <c r="AC519" s="634"/>
      <c r="AD519" s="634"/>
      <c r="AF519" s="633">
        <v>-111003.82</v>
      </c>
      <c r="AG519" s="633"/>
      <c r="AH519" s="633"/>
      <c r="AI519" s="633"/>
      <c r="AJ519" s="633"/>
      <c r="AK519" s="633"/>
      <c r="AL519" s="633"/>
    </row>
    <row r="520" spans="1:38" ht="11.1" customHeight="1" x14ac:dyDescent="0.25">
      <c r="A520" s="630" t="s">
        <v>3842</v>
      </c>
      <c r="B520" s="630"/>
      <c r="C520" s="630"/>
      <c r="K520" s="630" t="s">
        <v>905</v>
      </c>
      <c r="L520" s="630"/>
      <c r="M520" s="630"/>
      <c r="N520" s="630"/>
      <c r="O520" s="630"/>
      <c r="P520" s="630"/>
      <c r="Q520" s="627">
        <v>-111003.82</v>
      </c>
      <c r="R520" s="627"/>
      <c r="T520" s="631">
        <v>40155.339999999997</v>
      </c>
      <c r="U520" s="631"/>
      <c r="V520" s="631"/>
      <c r="Y520" s="631">
        <v>40155.339999999997</v>
      </c>
      <c r="Z520" s="631"/>
      <c r="AA520" s="631"/>
      <c r="AB520" s="631"/>
      <c r="AC520" s="631"/>
      <c r="AD520" s="631"/>
      <c r="AF520" s="627">
        <v>-111003.82</v>
      </c>
      <c r="AG520" s="627"/>
      <c r="AH520" s="627"/>
      <c r="AI520" s="627"/>
      <c r="AJ520" s="627"/>
      <c r="AK520" s="627"/>
      <c r="AL520" s="627"/>
    </row>
    <row r="521" spans="1:38" ht="11.1" customHeight="1" x14ac:dyDescent="0.25">
      <c r="A521" s="630" t="s">
        <v>3843</v>
      </c>
      <c r="B521" s="630"/>
      <c r="C521" s="630"/>
      <c r="L521" s="630" t="s">
        <v>586</v>
      </c>
      <c r="M521" s="630"/>
      <c r="N521" s="630"/>
      <c r="O521" s="630"/>
      <c r="P521" s="630"/>
      <c r="Q521" s="627">
        <v>0</v>
      </c>
      <c r="R521" s="627"/>
      <c r="T521" s="631">
        <v>40155.339999999997</v>
      </c>
      <c r="U521" s="631"/>
      <c r="V521" s="631"/>
      <c r="Y521" s="631">
        <v>40155.339999999997</v>
      </c>
      <c r="Z521" s="631"/>
      <c r="AA521" s="631"/>
      <c r="AB521" s="631"/>
      <c r="AC521" s="631"/>
      <c r="AD521" s="631"/>
      <c r="AF521" s="627">
        <v>0</v>
      </c>
      <c r="AG521" s="627"/>
      <c r="AH521" s="627"/>
      <c r="AI521" s="627"/>
      <c r="AJ521" s="627"/>
      <c r="AK521" s="627"/>
      <c r="AL521" s="627"/>
    </row>
    <row r="522" spans="1:38" ht="11.1" customHeight="1" x14ac:dyDescent="0.25">
      <c r="A522" s="630" t="s">
        <v>3844</v>
      </c>
      <c r="B522" s="630"/>
      <c r="C522" s="630"/>
      <c r="M522" s="630" t="s">
        <v>518</v>
      </c>
      <c r="N522" s="630"/>
      <c r="O522" s="630"/>
      <c r="P522" s="630"/>
      <c r="Q522" s="627">
        <v>0</v>
      </c>
      <c r="R522" s="627"/>
      <c r="T522" s="631">
        <v>40155.339999999997</v>
      </c>
      <c r="U522" s="631"/>
      <c r="V522" s="631"/>
      <c r="Y522" s="631">
        <v>40155.339999999997</v>
      </c>
      <c r="Z522" s="631"/>
      <c r="AA522" s="631"/>
      <c r="AB522" s="631"/>
      <c r="AC522" s="631"/>
      <c r="AD522" s="631"/>
      <c r="AF522" s="627">
        <v>0</v>
      </c>
      <c r="AG522" s="627"/>
      <c r="AH522" s="627"/>
      <c r="AI522" s="627"/>
      <c r="AJ522" s="627"/>
      <c r="AK522" s="627"/>
      <c r="AL522" s="627"/>
    </row>
    <row r="523" spans="1:38" ht="11.1" customHeight="1" x14ac:dyDescent="0.25">
      <c r="A523" s="630" t="s">
        <v>3845</v>
      </c>
      <c r="B523" s="630"/>
      <c r="C523" s="630"/>
      <c r="L523" s="630" t="s">
        <v>302</v>
      </c>
      <c r="M523" s="630"/>
      <c r="N523" s="630"/>
      <c r="O523" s="630"/>
      <c r="P523" s="630"/>
      <c r="Q523" s="627">
        <v>-111003.82</v>
      </c>
      <c r="R523" s="627"/>
      <c r="T523" s="631">
        <v>0</v>
      </c>
      <c r="U523" s="631"/>
      <c r="V523" s="631"/>
      <c r="Y523" s="631">
        <v>0</v>
      </c>
      <c r="Z523" s="631"/>
      <c r="AA523" s="631"/>
      <c r="AB523" s="631"/>
      <c r="AC523" s="631"/>
      <c r="AD523" s="631"/>
      <c r="AF523" s="627">
        <v>-111003.82</v>
      </c>
      <c r="AG523" s="627"/>
      <c r="AH523" s="627"/>
      <c r="AI523" s="627"/>
      <c r="AJ523" s="627"/>
      <c r="AK523" s="627"/>
      <c r="AL523" s="627"/>
    </row>
    <row r="524" spans="1:38" ht="11.1" customHeight="1" x14ac:dyDescent="0.25">
      <c r="A524" s="630" t="s">
        <v>3846</v>
      </c>
      <c r="B524" s="630"/>
      <c r="C524" s="630"/>
      <c r="M524" s="630" t="s">
        <v>910</v>
      </c>
      <c r="N524" s="630"/>
      <c r="O524" s="630"/>
      <c r="P524" s="630"/>
      <c r="Q524" s="627">
        <v>-111003.82</v>
      </c>
      <c r="R524" s="627"/>
      <c r="T524" s="631">
        <v>0</v>
      </c>
      <c r="U524" s="631"/>
      <c r="V524" s="631"/>
      <c r="Y524" s="631">
        <v>0</v>
      </c>
      <c r="Z524" s="631"/>
      <c r="AA524" s="631"/>
      <c r="AB524" s="631"/>
      <c r="AC524" s="631"/>
      <c r="AD524" s="631"/>
      <c r="AF524" s="627">
        <v>-111003.82</v>
      </c>
      <c r="AG524" s="627"/>
      <c r="AH524" s="627"/>
      <c r="AI524" s="627"/>
      <c r="AJ524" s="627"/>
      <c r="AK524" s="627"/>
      <c r="AL524" s="627"/>
    </row>
    <row r="525" spans="1:38" ht="11.1" customHeight="1" x14ac:dyDescent="0.25">
      <c r="A525" s="632" t="s">
        <v>3847</v>
      </c>
      <c r="B525" s="632"/>
      <c r="C525" s="632"/>
      <c r="I525" s="632" t="s">
        <v>912</v>
      </c>
      <c r="J525" s="632"/>
      <c r="K525" s="632"/>
      <c r="L525" s="632"/>
      <c r="M525" s="632"/>
      <c r="N525" s="632"/>
      <c r="O525" s="632"/>
      <c r="P525" s="632"/>
      <c r="Q525" s="633">
        <v>-388020.47999999998</v>
      </c>
      <c r="R525" s="633"/>
      <c r="T525" s="634">
        <v>478594.08</v>
      </c>
      <c r="U525" s="634"/>
      <c r="V525" s="634"/>
      <c r="Y525" s="634">
        <v>552428.47</v>
      </c>
      <c r="Z525" s="634"/>
      <c r="AA525" s="634"/>
      <c r="AB525" s="634"/>
      <c r="AC525" s="634"/>
      <c r="AD525" s="634"/>
      <c r="AF525" s="633">
        <v>-461854.87</v>
      </c>
      <c r="AG525" s="633"/>
      <c r="AH525" s="633"/>
      <c r="AI525" s="633"/>
      <c r="AJ525" s="633"/>
      <c r="AK525" s="633"/>
      <c r="AL525" s="633"/>
    </row>
    <row r="526" spans="1:38" ht="11.1" customHeight="1" x14ac:dyDescent="0.25">
      <c r="A526" s="632" t="s">
        <v>3848</v>
      </c>
      <c r="B526" s="632"/>
      <c r="C526" s="632"/>
      <c r="J526" s="632" t="s">
        <v>912</v>
      </c>
      <c r="K526" s="632"/>
      <c r="L526" s="632"/>
      <c r="M526" s="632"/>
      <c r="N526" s="632"/>
      <c r="O526" s="632"/>
      <c r="P526" s="632"/>
      <c r="Q526" s="633">
        <v>-388020.47999999998</v>
      </c>
      <c r="R526" s="633"/>
      <c r="T526" s="634">
        <v>478594.08</v>
      </c>
      <c r="U526" s="634"/>
      <c r="V526" s="634"/>
      <c r="Y526" s="634">
        <v>552428.47</v>
      </c>
      <c r="Z526" s="634"/>
      <c r="AA526" s="634"/>
      <c r="AB526" s="634"/>
      <c r="AC526" s="634"/>
      <c r="AD526" s="634"/>
      <c r="AF526" s="633">
        <v>-461854.87</v>
      </c>
      <c r="AG526" s="633"/>
      <c r="AH526" s="633"/>
      <c r="AI526" s="633"/>
      <c r="AJ526" s="633"/>
      <c r="AK526" s="633"/>
      <c r="AL526" s="633"/>
    </row>
    <row r="527" spans="1:38" ht="11.1" customHeight="1" x14ac:dyDescent="0.25">
      <c r="A527" s="630" t="s">
        <v>3849</v>
      </c>
      <c r="B527" s="630"/>
      <c r="C527" s="630"/>
      <c r="K527" s="630" t="s">
        <v>912</v>
      </c>
      <c r="L527" s="630"/>
      <c r="M527" s="630"/>
      <c r="N527" s="630"/>
      <c r="O527" s="630"/>
      <c r="P527" s="630"/>
      <c r="Q527" s="627">
        <v>-388020.47999999998</v>
      </c>
      <c r="R527" s="627"/>
      <c r="T527" s="631">
        <v>478594.08</v>
      </c>
      <c r="U527" s="631"/>
      <c r="V527" s="631"/>
      <c r="Y527" s="631">
        <v>552428.47</v>
      </c>
      <c r="Z527" s="631"/>
      <c r="AA527" s="631"/>
      <c r="AB527" s="631"/>
      <c r="AC527" s="631"/>
      <c r="AD527" s="631"/>
      <c r="AF527" s="627">
        <v>-461854.87</v>
      </c>
      <c r="AG527" s="627"/>
      <c r="AH527" s="627"/>
      <c r="AI527" s="627"/>
      <c r="AJ527" s="627"/>
      <c r="AK527" s="627"/>
      <c r="AL527" s="627"/>
    </row>
    <row r="528" spans="1:38" ht="11.1" customHeight="1" x14ac:dyDescent="0.25">
      <c r="A528" s="630" t="s">
        <v>3850</v>
      </c>
      <c r="B528" s="630"/>
      <c r="C528" s="630"/>
      <c r="M528" s="630" t="s">
        <v>2832</v>
      </c>
      <c r="N528" s="630"/>
      <c r="O528" s="630"/>
      <c r="P528" s="630"/>
      <c r="Q528" s="627">
        <v>0</v>
      </c>
      <c r="R528" s="627"/>
      <c r="T528" s="631">
        <v>1109.9100000000001</v>
      </c>
      <c r="U528" s="631"/>
      <c r="V528" s="631"/>
      <c r="Y528" s="631">
        <v>1109.9100000000001</v>
      </c>
      <c r="Z528" s="631"/>
      <c r="AA528" s="631"/>
      <c r="AB528" s="631"/>
      <c r="AC528" s="631"/>
      <c r="AD528" s="631"/>
      <c r="AF528" s="627">
        <v>0</v>
      </c>
      <c r="AG528" s="627"/>
      <c r="AH528" s="627"/>
      <c r="AI528" s="627"/>
      <c r="AJ528" s="627"/>
      <c r="AK528" s="627"/>
      <c r="AL528" s="627"/>
    </row>
    <row r="529" spans="1:38" ht="11.1" customHeight="1" x14ac:dyDescent="0.25">
      <c r="A529" s="630" t="s">
        <v>3851</v>
      </c>
      <c r="B529" s="630"/>
      <c r="C529" s="630"/>
      <c r="M529" s="630" t="s">
        <v>2834</v>
      </c>
      <c r="N529" s="630"/>
      <c r="O529" s="630"/>
      <c r="P529" s="630"/>
      <c r="Q529" s="627">
        <v>0</v>
      </c>
      <c r="R529" s="627"/>
      <c r="T529" s="631">
        <v>0</v>
      </c>
      <c r="U529" s="631"/>
      <c r="V529" s="631"/>
      <c r="Y529" s="631">
        <v>24.5</v>
      </c>
      <c r="Z529" s="631"/>
      <c r="AA529" s="631"/>
      <c r="AB529" s="631"/>
      <c r="AC529" s="631"/>
      <c r="AD529" s="631"/>
      <c r="AF529" s="627">
        <v>-24.5</v>
      </c>
      <c r="AG529" s="627"/>
      <c r="AH529" s="627"/>
      <c r="AI529" s="627"/>
      <c r="AJ529" s="627"/>
      <c r="AK529" s="627"/>
      <c r="AL529" s="627"/>
    </row>
    <row r="530" spans="1:38" ht="11.1" customHeight="1" x14ac:dyDescent="0.25">
      <c r="A530" s="630" t="s">
        <v>3852</v>
      </c>
      <c r="B530" s="630"/>
      <c r="C530" s="630"/>
      <c r="M530" s="630" t="s">
        <v>2836</v>
      </c>
      <c r="N530" s="630"/>
      <c r="O530" s="630"/>
      <c r="P530" s="630"/>
      <c r="Q530" s="627">
        <v>-1073.18</v>
      </c>
      <c r="R530" s="627"/>
      <c r="T530" s="631">
        <v>2146.36</v>
      </c>
      <c r="U530" s="631"/>
      <c r="V530" s="631"/>
      <c r="Y530" s="631">
        <v>1073.18</v>
      </c>
      <c r="Z530" s="631"/>
      <c r="AA530" s="631"/>
      <c r="AB530" s="631"/>
      <c r="AC530" s="631"/>
      <c r="AD530" s="631"/>
      <c r="AF530" s="627">
        <v>0</v>
      </c>
      <c r="AG530" s="627"/>
      <c r="AH530" s="627"/>
      <c r="AI530" s="627"/>
      <c r="AJ530" s="627"/>
      <c r="AK530" s="627"/>
      <c r="AL530" s="627"/>
    </row>
    <row r="531" spans="1:38" ht="11.1" customHeight="1" x14ac:dyDescent="0.25">
      <c r="A531" s="630" t="s">
        <v>3853</v>
      </c>
      <c r="B531" s="630"/>
      <c r="C531" s="630"/>
      <c r="M531" s="630" t="s">
        <v>2838</v>
      </c>
      <c r="N531" s="630"/>
      <c r="O531" s="630"/>
      <c r="P531" s="630"/>
      <c r="Q531" s="627">
        <v>0</v>
      </c>
      <c r="R531" s="627"/>
      <c r="T531" s="631">
        <v>2766.42</v>
      </c>
      <c r="U531" s="631"/>
      <c r="V531" s="631"/>
      <c r="Y531" s="631">
        <v>2766.42</v>
      </c>
      <c r="Z531" s="631"/>
      <c r="AA531" s="631"/>
      <c r="AB531" s="631"/>
      <c r="AC531" s="631"/>
      <c r="AD531" s="631"/>
      <c r="AF531" s="627">
        <v>0</v>
      </c>
      <c r="AG531" s="627"/>
      <c r="AH531" s="627"/>
      <c r="AI531" s="627"/>
      <c r="AJ531" s="627"/>
      <c r="AK531" s="627"/>
      <c r="AL531" s="627"/>
    </row>
    <row r="532" spans="1:38" ht="11.1" customHeight="1" x14ac:dyDescent="0.25">
      <c r="A532" s="630" t="s">
        <v>3854</v>
      </c>
      <c r="B532" s="630"/>
      <c r="C532" s="630"/>
      <c r="M532" s="630" t="s">
        <v>2840</v>
      </c>
      <c r="N532" s="630"/>
      <c r="O532" s="630"/>
      <c r="P532" s="630"/>
      <c r="Q532" s="627">
        <v>0</v>
      </c>
      <c r="R532" s="627"/>
      <c r="T532" s="631">
        <v>190.33</v>
      </c>
      <c r="U532" s="631"/>
      <c r="V532" s="631"/>
      <c r="Y532" s="631">
        <v>190.33</v>
      </c>
      <c r="Z532" s="631"/>
      <c r="AA532" s="631"/>
      <c r="AB532" s="631"/>
      <c r="AC532" s="631"/>
      <c r="AD532" s="631"/>
      <c r="AF532" s="627">
        <v>0</v>
      </c>
      <c r="AG532" s="627"/>
      <c r="AH532" s="627"/>
      <c r="AI532" s="627"/>
      <c r="AJ532" s="627"/>
      <c r="AK532" s="627"/>
      <c r="AL532" s="627"/>
    </row>
    <row r="533" spans="1:38" ht="11.1" customHeight="1" x14ac:dyDescent="0.25">
      <c r="A533" s="630" t="s">
        <v>3855</v>
      </c>
      <c r="B533" s="630"/>
      <c r="C533" s="630"/>
      <c r="M533" s="630" t="s">
        <v>2842</v>
      </c>
      <c r="N533" s="630"/>
      <c r="O533" s="630"/>
      <c r="P533" s="630"/>
      <c r="Q533" s="627">
        <v>-2114</v>
      </c>
      <c r="R533" s="627"/>
      <c r="T533" s="631">
        <v>2114</v>
      </c>
      <c r="U533" s="631"/>
      <c r="V533" s="631"/>
      <c r="Y533" s="631">
        <v>0</v>
      </c>
      <c r="Z533" s="631"/>
      <c r="AA533" s="631"/>
      <c r="AB533" s="631"/>
      <c r="AC533" s="631"/>
      <c r="AD533" s="631"/>
      <c r="AF533" s="627">
        <v>0</v>
      </c>
      <c r="AG533" s="627"/>
      <c r="AH533" s="627"/>
      <c r="AI533" s="627"/>
      <c r="AJ533" s="627"/>
      <c r="AK533" s="627"/>
      <c r="AL533" s="627"/>
    </row>
    <row r="534" spans="1:38" ht="11.1" customHeight="1" x14ac:dyDescent="0.25">
      <c r="A534" s="630" t="s">
        <v>3856</v>
      </c>
      <c r="B534" s="630"/>
      <c r="C534" s="630"/>
      <c r="M534" s="630" t="s">
        <v>2844</v>
      </c>
      <c r="N534" s="630"/>
      <c r="O534" s="630"/>
      <c r="P534" s="630"/>
      <c r="Q534" s="627">
        <v>-13889.8</v>
      </c>
      <c r="R534" s="627"/>
      <c r="T534" s="631">
        <v>13889.8</v>
      </c>
      <c r="U534" s="631"/>
      <c r="V534" s="631"/>
      <c r="Y534" s="631">
        <v>0</v>
      </c>
      <c r="Z534" s="631"/>
      <c r="AA534" s="631"/>
      <c r="AB534" s="631"/>
      <c r="AC534" s="631"/>
      <c r="AD534" s="631"/>
      <c r="AF534" s="627">
        <v>0</v>
      </c>
      <c r="AG534" s="627"/>
      <c r="AH534" s="627"/>
      <c r="AI534" s="627"/>
      <c r="AJ534" s="627"/>
      <c r="AK534" s="627"/>
      <c r="AL534" s="627"/>
    </row>
    <row r="535" spans="1:38" ht="11.1" customHeight="1" x14ac:dyDescent="0.25">
      <c r="A535" s="630" t="s">
        <v>3857</v>
      </c>
      <c r="B535" s="630"/>
      <c r="C535" s="630"/>
      <c r="M535" s="630" t="s">
        <v>2846</v>
      </c>
      <c r="N535" s="630"/>
      <c r="O535" s="630"/>
      <c r="P535" s="630"/>
      <c r="Q535" s="627">
        <v>0</v>
      </c>
      <c r="R535" s="627"/>
      <c r="T535" s="631">
        <v>105</v>
      </c>
      <c r="U535" s="631"/>
      <c r="V535" s="631"/>
      <c r="Y535" s="631">
        <v>105</v>
      </c>
      <c r="Z535" s="631"/>
      <c r="AA535" s="631"/>
      <c r="AB535" s="631"/>
      <c r="AC535" s="631"/>
      <c r="AD535" s="631"/>
      <c r="AF535" s="627">
        <v>0</v>
      </c>
      <c r="AG535" s="627"/>
      <c r="AH535" s="627"/>
      <c r="AI535" s="627"/>
      <c r="AJ535" s="627"/>
      <c r="AK535" s="627"/>
      <c r="AL535" s="627"/>
    </row>
    <row r="536" spans="1:38" ht="11.1" customHeight="1" x14ac:dyDescent="0.25">
      <c r="A536" s="630" t="s">
        <v>3858</v>
      </c>
      <c r="B536" s="630"/>
      <c r="C536" s="630"/>
      <c r="M536" s="630" t="s">
        <v>2848</v>
      </c>
      <c r="N536" s="630"/>
      <c r="O536" s="630"/>
      <c r="P536" s="630"/>
      <c r="Q536" s="627">
        <v>0</v>
      </c>
      <c r="R536" s="627"/>
      <c r="T536" s="631">
        <v>0</v>
      </c>
      <c r="U536" s="631"/>
      <c r="V536" s="631"/>
      <c r="Y536" s="631">
        <v>2334.65</v>
      </c>
      <c r="Z536" s="631"/>
      <c r="AA536" s="631"/>
      <c r="AB536" s="631"/>
      <c r="AC536" s="631"/>
      <c r="AD536" s="631"/>
      <c r="AF536" s="627">
        <v>-2334.65</v>
      </c>
      <c r="AG536" s="627"/>
      <c r="AH536" s="627"/>
      <c r="AI536" s="627"/>
      <c r="AJ536" s="627"/>
      <c r="AK536" s="627"/>
      <c r="AL536" s="627"/>
    </row>
    <row r="537" spans="1:38" ht="11.1" customHeight="1" x14ac:dyDescent="0.25">
      <c r="A537" s="630" t="s">
        <v>3859</v>
      </c>
      <c r="B537" s="630"/>
      <c r="C537" s="630"/>
      <c r="M537" s="630" t="s">
        <v>2850</v>
      </c>
      <c r="N537" s="630"/>
      <c r="O537" s="630"/>
      <c r="P537" s="630"/>
      <c r="Q537" s="627">
        <v>0</v>
      </c>
      <c r="R537" s="627"/>
      <c r="T537" s="631">
        <v>0</v>
      </c>
      <c r="U537" s="631"/>
      <c r="V537" s="631"/>
      <c r="Y537" s="631">
        <v>3763.2</v>
      </c>
      <c r="Z537" s="631"/>
      <c r="AA537" s="631"/>
      <c r="AB537" s="631"/>
      <c r="AC537" s="631"/>
      <c r="AD537" s="631"/>
      <c r="AF537" s="627">
        <v>-3763.2</v>
      </c>
      <c r="AG537" s="627"/>
      <c r="AH537" s="627"/>
      <c r="AI537" s="627"/>
      <c r="AJ537" s="627"/>
      <c r="AK537" s="627"/>
      <c r="AL537" s="627"/>
    </row>
    <row r="538" spans="1:38" ht="11.1" customHeight="1" x14ac:dyDescent="0.25">
      <c r="A538" s="630" t="s">
        <v>3860</v>
      </c>
      <c r="B538" s="630"/>
      <c r="C538" s="630"/>
      <c r="M538" s="630" t="s">
        <v>2852</v>
      </c>
      <c r="N538" s="630"/>
      <c r="O538" s="630"/>
      <c r="P538" s="630"/>
      <c r="Q538" s="627">
        <v>0</v>
      </c>
      <c r="R538" s="627"/>
      <c r="T538" s="631">
        <v>0</v>
      </c>
      <c r="U538" s="631"/>
      <c r="V538" s="631"/>
      <c r="Y538" s="631">
        <v>8436</v>
      </c>
      <c r="Z538" s="631"/>
      <c r="AA538" s="631"/>
      <c r="AB538" s="631"/>
      <c r="AC538" s="631"/>
      <c r="AD538" s="631"/>
      <c r="AF538" s="627">
        <v>-8436</v>
      </c>
      <c r="AG538" s="627"/>
      <c r="AH538" s="627"/>
      <c r="AI538" s="627"/>
      <c r="AJ538" s="627"/>
      <c r="AK538" s="627"/>
      <c r="AL538" s="627"/>
    </row>
    <row r="539" spans="1:38" ht="11.1" customHeight="1" x14ac:dyDescent="0.25">
      <c r="A539" s="630" t="s">
        <v>3861</v>
      </c>
      <c r="B539" s="630"/>
      <c r="C539" s="630"/>
      <c r="L539" s="630" t="s">
        <v>912</v>
      </c>
      <c r="M539" s="630"/>
      <c r="N539" s="630"/>
      <c r="O539" s="630"/>
      <c r="P539" s="630"/>
      <c r="Q539" s="627">
        <v>-320388.34999999998</v>
      </c>
      <c r="R539" s="627"/>
      <c r="T539" s="631">
        <v>456272.26</v>
      </c>
      <c r="U539" s="631"/>
      <c r="V539" s="631"/>
      <c r="Y539" s="631">
        <v>488028.7</v>
      </c>
      <c r="Z539" s="631"/>
      <c r="AA539" s="631"/>
      <c r="AB539" s="631"/>
      <c r="AC539" s="631"/>
      <c r="AD539" s="631"/>
      <c r="AF539" s="627">
        <v>-352144.79</v>
      </c>
      <c r="AG539" s="627"/>
      <c r="AH539" s="627"/>
      <c r="AI539" s="627"/>
      <c r="AJ539" s="627"/>
      <c r="AK539" s="627"/>
      <c r="AL539" s="627"/>
    </row>
    <row r="540" spans="1:38" ht="11.1" customHeight="1" x14ac:dyDescent="0.25">
      <c r="A540" s="630" t="s">
        <v>3862</v>
      </c>
      <c r="B540" s="630"/>
      <c r="C540" s="630"/>
      <c r="M540" s="630" t="s">
        <v>917</v>
      </c>
      <c r="N540" s="630"/>
      <c r="O540" s="630"/>
      <c r="P540" s="630"/>
      <c r="Q540" s="627">
        <v>0</v>
      </c>
      <c r="R540" s="627"/>
      <c r="T540" s="631">
        <v>1083.5</v>
      </c>
      <c r="U540" s="631"/>
      <c r="V540" s="631"/>
      <c r="Y540" s="631">
        <v>1083.5</v>
      </c>
      <c r="Z540" s="631"/>
      <c r="AA540" s="631"/>
      <c r="AB540" s="631"/>
      <c r="AC540" s="631"/>
      <c r="AD540" s="631"/>
      <c r="AF540" s="627">
        <v>0</v>
      </c>
      <c r="AG540" s="627"/>
      <c r="AH540" s="627"/>
      <c r="AI540" s="627"/>
      <c r="AJ540" s="627"/>
      <c r="AK540" s="627"/>
      <c r="AL540" s="627"/>
    </row>
    <row r="541" spans="1:38" ht="11.1" customHeight="1" x14ac:dyDescent="0.25">
      <c r="A541" s="630" t="s">
        <v>3863</v>
      </c>
      <c r="B541" s="630"/>
      <c r="C541" s="630"/>
      <c r="M541" s="630" t="s">
        <v>919</v>
      </c>
      <c r="N541" s="630"/>
      <c r="O541" s="630"/>
      <c r="P541" s="630"/>
      <c r="Q541" s="627">
        <v>0</v>
      </c>
      <c r="R541" s="627"/>
      <c r="T541" s="631">
        <v>769.49</v>
      </c>
      <c r="U541" s="631"/>
      <c r="V541" s="631"/>
      <c r="Y541" s="631">
        <v>769.49</v>
      </c>
      <c r="Z541" s="631"/>
      <c r="AA541" s="631"/>
      <c r="AB541" s="631"/>
      <c r="AC541" s="631"/>
      <c r="AD541" s="631"/>
      <c r="AF541" s="627">
        <v>0</v>
      </c>
      <c r="AG541" s="627"/>
      <c r="AH541" s="627"/>
      <c r="AI541" s="627"/>
      <c r="AJ541" s="627"/>
      <c r="AK541" s="627"/>
      <c r="AL541" s="627"/>
    </row>
    <row r="542" spans="1:38" ht="11.1" customHeight="1" x14ac:dyDescent="0.25">
      <c r="A542" s="630" t="s">
        <v>3864</v>
      </c>
      <c r="B542" s="630"/>
      <c r="C542" s="630"/>
      <c r="M542" s="630" t="s">
        <v>921</v>
      </c>
      <c r="N542" s="630"/>
      <c r="O542" s="630"/>
      <c r="P542" s="630"/>
      <c r="Q542" s="627">
        <v>-135</v>
      </c>
      <c r="R542" s="627"/>
      <c r="T542" s="631">
        <v>135</v>
      </c>
      <c r="U542" s="631"/>
      <c r="V542" s="631"/>
      <c r="Y542" s="631">
        <v>50</v>
      </c>
      <c r="Z542" s="631"/>
      <c r="AA542" s="631"/>
      <c r="AB542" s="631"/>
      <c r="AC542" s="631"/>
      <c r="AD542" s="631"/>
      <c r="AF542" s="627">
        <v>-50</v>
      </c>
      <c r="AG542" s="627"/>
      <c r="AH542" s="627"/>
      <c r="AI542" s="627"/>
      <c r="AJ542" s="627"/>
      <c r="AK542" s="627"/>
      <c r="AL542" s="627"/>
    </row>
    <row r="543" spans="1:38" ht="11.1" customHeight="1" x14ac:dyDescent="0.25">
      <c r="A543" s="630" t="s">
        <v>3865</v>
      </c>
      <c r="B543" s="630"/>
      <c r="C543" s="630"/>
      <c r="M543" s="630" t="s">
        <v>2854</v>
      </c>
      <c r="N543" s="630"/>
      <c r="O543" s="630"/>
      <c r="P543" s="630"/>
      <c r="Q543" s="627">
        <v>0</v>
      </c>
      <c r="R543" s="627"/>
      <c r="T543" s="631">
        <v>1769.07</v>
      </c>
      <c r="U543" s="631"/>
      <c r="V543" s="631"/>
      <c r="Y543" s="631">
        <v>1769.07</v>
      </c>
      <c r="Z543" s="631"/>
      <c r="AA543" s="631"/>
      <c r="AB543" s="631"/>
      <c r="AC543" s="631"/>
      <c r="AD543" s="631"/>
      <c r="AF543" s="627">
        <v>0</v>
      </c>
      <c r="AG543" s="627"/>
      <c r="AH543" s="627"/>
      <c r="AI543" s="627"/>
      <c r="AJ543" s="627"/>
      <c r="AK543" s="627"/>
      <c r="AL543" s="627"/>
    </row>
    <row r="544" spans="1:38" ht="11.1" customHeight="1" x14ac:dyDescent="0.25">
      <c r="A544" s="630" t="s">
        <v>3866</v>
      </c>
      <c r="B544" s="630"/>
      <c r="C544" s="630"/>
      <c r="M544" s="630" t="s">
        <v>2856</v>
      </c>
      <c r="N544" s="630"/>
      <c r="O544" s="630"/>
      <c r="P544" s="630"/>
      <c r="Q544" s="627">
        <v>0</v>
      </c>
      <c r="R544" s="627"/>
      <c r="T544" s="631">
        <v>0</v>
      </c>
      <c r="U544" s="631"/>
      <c r="V544" s="631"/>
      <c r="Y544" s="631">
        <v>2200</v>
      </c>
      <c r="Z544" s="631"/>
      <c r="AA544" s="631"/>
      <c r="AB544" s="631"/>
      <c r="AC544" s="631"/>
      <c r="AD544" s="631"/>
      <c r="AF544" s="627">
        <v>-2200</v>
      </c>
      <c r="AG544" s="627"/>
      <c r="AH544" s="627"/>
      <c r="AI544" s="627"/>
      <c r="AJ544" s="627"/>
      <c r="AK544" s="627"/>
      <c r="AL544" s="627"/>
    </row>
    <row r="545" spans="1:38" ht="11.1" customHeight="1" x14ac:dyDescent="0.25">
      <c r="A545" s="630" t="s">
        <v>3867</v>
      </c>
      <c r="B545" s="630"/>
      <c r="C545" s="630"/>
      <c r="M545" s="630" t="s">
        <v>2857</v>
      </c>
      <c r="N545" s="630"/>
      <c r="O545" s="630"/>
      <c r="P545" s="630"/>
      <c r="Q545" s="627">
        <v>0</v>
      </c>
      <c r="R545" s="627"/>
      <c r="T545" s="631">
        <v>21.22</v>
      </c>
      <c r="U545" s="631"/>
      <c r="V545" s="631"/>
      <c r="Y545" s="631">
        <v>42.44</v>
      </c>
      <c r="Z545" s="631"/>
      <c r="AA545" s="631"/>
      <c r="AB545" s="631"/>
      <c r="AC545" s="631"/>
      <c r="AD545" s="631"/>
      <c r="AF545" s="627">
        <v>-21.22</v>
      </c>
      <c r="AG545" s="627"/>
      <c r="AH545" s="627"/>
      <c r="AI545" s="627"/>
      <c r="AJ545" s="627"/>
      <c r="AK545" s="627"/>
      <c r="AL545" s="627"/>
    </row>
    <row r="546" spans="1:38" ht="11.1" customHeight="1" x14ac:dyDescent="0.25">
      <c r="A546" s="630" t="s">
        <v>3868</v>
      </c>
      <c r="B546" s="630"/>
      <c r="C546" s="630"/>
      <c r="M546" s="630" t="s">
        <v>2859</v>
      </c>
      <c r="N546" s="630"/>
      <c r="O546" s="630"/>
      <c r="P546" s="630"/>
      <c r="Q546" s="627">
        <v>0</v>
      </c>
      <c r="R546" s="627"/>
      <c r="T546" s="631">
        <v>16.899999999999999</v>
      </c>
      <c r="U546" s="631"/>
      <c r="V546" s="631"/>
      <c r="Y546" s="631">
        <v>16.899999999999999</v>
      </c>
      <c r="Z546" s="631"/>
      <c r="AA546" s="631"/>
      <c r="AB546" s="631"/>
      <c r="AC546" s="631"/>
      <c r="AD546" s="631"/>
      <c r="AF546" s="627">
        <v>0</v>
      </c>
      <c r="AG546" s="627"/>
      <c r="AH546" s="627"/>
      <c r="AI546" s="627"/>
      <c r="AJ546" s="627"/>
      <c r="AK546" s="627"/>
      <c r="AL546" s="627"/>
    </row>
    <row r="547" spans="1:38" ht="11.1" customHeight="1" x14ac:dyDescent="0.25">
      <c r="A547" s="630" t="s">
        <v>3869</v>
      </c>
      <c r="B547" s="630"/>
      <c r="C547" s="630"/>
      <c r="M547" s="630" t="s">
        <v>924</v>
      </c>
      <c r="N547" s="630"/>
      <c r="O547" s="630"/>
      <c r="P547" s="630"/>
      <c r="Q547" s="627">
        <v>0</v>
      </c>
      <c r="R547" s="627"/>
      <c r="T547" s="631">
        <v>6018.98</v>
      </c>
      <c r="U547" s="631"/>
      <c r="V547" s="631"/>
      <c r="Y547" s="631">
        <v>6018.98</v>
      </c>
      <c r="Z547" s="631"/>
      <c r="AA547" s="631"/>
      <c r="AB547" s="631"/>
      <c r="AC547" s="631"/>
      <c r="AD547" s="631"/>
      <c r="AF547" s="627">
        <v>0</v>
      </c>
      <c r="AG547" s="627"/>
      <c r="AH547" s="627"/>
      <c r="AI547" s="627"/>
      <c r="AJ547" s="627"/>
      <c r="AK547" s="627"/>
      <c r="AL547" s="627"/>
    </row>
    <row r="548" spans="1:38" ht="11.1" customHeight="1" x14ac:dyDescent="0.25">
      <c r="A548" s="630" t="s">
        <v>3870</v>
      </c>
      <c r="B548" s="630"/>
      <c r="C548" s="630"/>
      <c r="M548" s="630" t="s">
        <v>518</v>
      </c>
      <c r="N548" s="630"/>
      <c r="O548" s="630"/>
      <c r="P548" s="630"/>
      <c r="Q548" s="627">
        <v>0</v>
      </c>
      <c r="R548" s="627"/>
      <c r="T548" s="631">
        <v>14602.25</v>
      </c>
      <c r="U548" s="631"/>
      <c r="V548" s="631"/>
      <c r="Y548" s="631">
        <v>14602.25</v>
      </c>
      <c r="Z548" s="631"/>
      <c r="AA548" s="631"/>
      <c r="AB548" s="631"/>
      <c r="AC548" s="631"/>
      <c r="AD548" s="631"/>
      <c r="AF548" s="627">
        <v>0</v>
      </c>
      <c r="AG548" s="627"/>
      <c r="AH548" s="627"/>
      <c r="AI548" s="627"/>
      <c r="AJ548" s="627"/>
      <c r="AK548" s="627"/>
      <c r="AL548" s="627"/>
    </row>
    <row r="549" spans="1:38" ht="11.1" customHeight="1" x14ac:dyDescent="0.25">
      <c r="A549" s="630" t="s">
        <v>3871</v>
      </c>
      <c r="B549" s="630"/>
      <c r="C549" s="630"/>
      <c r="M549" s="630" t="s">
        <v>927</v>
      </c>
      <c r="N549" s="630"/>
      <c r="O549" s="630"/>
      <c r="P549" s="630"/>
      <c r="Q549" s="627">
        <v>-9981.7199999999993</v>
      </c>
      <c r="R549" s="627"/>
      <c r="T549" s="631">
        <v>9981.7199999999993</v>
      </c>
      <c r="U549" s="631"/>
      <c r="V549" s="631"/>
      <c r="Y549" s="631">
        <v>9981.7199999999993</v>
      </c>
      <c r="Z549" s="631"/>
      <c r="AA549" s="631"/>
      <c r="AB549" s="631"/>
      <c r="AC549" s="631"/>
      <c r="AD549" s="631"/>
      <c r="AF549" s="627">
        <v>-9981.7199999999993</v>
      </c>
      <c r="AG549" s="627"/>
      <c r="AH549" s="627"/>
      <c r="AI549" s="627"/>
      <c r="AJ549" s="627"/>
      <c r="AK549" s="627"/>
      <c r="AL549" s="627"/>
    </row>
    <row r="550" spans="1:38" ht="11.1" customHeight="1" x14ac:dyDescent="0.25">
      <c r="A550" s="630" t="s">
        <v>3872</v>
      </c>
      <c r="B550" s="630"/>
      <c r="C550" s="630"/>
      <c r="M550" s="630" t="s">
        <v>2274</v>
      </c>
      <c r="N550" s="630"/>
      <c r="O550" s="630"/>
      <c r="P550" s="630"/>
      <c r="Q550" s="627">
        <v>0</v>
      </c>
      <c r="R550" s="627"/>
      <c r="T550" s="631">
        <v>155.68</v>
      </c>
      <c r="U550" s="631"/>
      <c r="V550" s="631"/>
      <c r="Y550" s="631">
        <v>155.68</v>
      </c>
      <c r="Z550" s="631"/>
      <c r="AA550" s="631"/>
      <c r="AB550" s="631"/>
      <c r="AC550" s="631"/>
      <c r="AD550" s="631"/>
      <c r="AF550" s="627">
        <v>0</v>
      </c>
      <c r="AG550" s="627"/>
      <c r="AH550" s="627"/>
      <c r="AI550" s="627"/>
      <c r="AJ550" s="627"/>
      <c r="AK550" s="627"/>
      <c r="AL550" s="627"/>
    </row>
    <row r="551" spans="1:38" ht="11.1" customHeight="1" x14ac:dyDescent="0.25">
      <c r="A551" s="630" t="s">
        <v>3873</v>
      </c>
      <c r="B551" s="630"/>
      <c r="C551" s="630"/>
      <c r="M551" s="630" t="s">
        <v>2861</v>
      </c>
      <c r="N551" s="630"/>
      <c r="O551" s="630"/>
      <c r="P551" s="630"/>
      <c r="Q551" s="627">
        <v>0</v>
      </c>
      <c r="R551" s="627"/>
      <c r="T551" s="631">
        <v>12.1</v>
      </c>
      <c r="U551" s="631"/>
      <c r="V551" s="631"/>
      <c r="Y551" s="631">
        <v>12.1</v>
      </c>
      <c r="Z551" s="631"/>
      <c r="AA551" s="631"/>
      <c r="AB551" s="631"/>
      <c r="AC551" s="631"/>
      <c r="AD551" s="631"/>
      <c r="AF551" s="627">
        <v>0</v>
      </c>
      <c r="AG551" s="627"/>
      <c r="AH551" s="627"/>
      <c r="AI551" s="627"/>
      <c r="AJ551" s="627"/>
      <c r="AK551" s="627"/>
      <c r="AL551" s="627"/>
    </row>
    <row r="552" spans="1:38" ht="11.1" customHeight="1" x14ac:dyDescent="0.25">
      <c r="A552" s="630" t="s">
        <v>3874</v>
      </c>
      <c r="B552" s="630"/>
      <c r="C552" s="630"/>
      <c r="M552" s="630" t="s">
        <v>2863</v>
      </c>
      <c r="N552" s="630"/>
      <c r="O552" s="630"/>
      <c r="P552" s="630"/>
      <c r="Q552" s="627">
        <v>-468.48</v>
      </c>
      <c r="R552" s="627"/>
      <c r="T552" s="631">
        <v>688.08</v>
      </c>
      <c r="U552" s="631"/>
      <c r="V552" s="631"/>
      <c r="Y552" s="631">
        <v>219.6</v>
      </c>
      <c r="Z552" s="631"/>
      <c r="AA552" s="631"/>
      <c r="AB552" s="631"/>
      <c r="AC552" s="631"/>
      <c r="AD552" s="631"/>
      <c r="AF552" s="627">
        <v>0</v>
      </c>
      <c r="AG552" s="627"/>
      <c r="AH552" s="627"/>
      <c r="AI552" s="627"/>
      <c r="AJ552" s="627"/>
      <c r="AK552" s="627"/>
      <c r="AL552" s="627"/>
    </row>
    <row r="553" spans="1:38" ht="11.1" customHeight="1" x14ac:dyDescent="0.25">
      <c r="A553" s="630" t="s">
        <v>3875</v>
      </c>
      <c r="B553" s="630"/>
      <c r="C553" s="630"/>
      <c r="M553" s="630" t="s">
        <v>2229</v>
      </c>
      <c r="N553" s="630"/>
      <c r="O553" s="630"/>
      <c r="P553" s="630"/>
      <c r="Q553" s="627">
        <v>-1484.99</v>
      </c>
      <c r="R553" s="627"/>
      <c r="T553" s="631">
        <v>2969.98</v>
      </c>
      <c r="U553" s="631"/>
      <c r="V553" s="631"/>
      <c r="Y553" s="631">
        <v>1484.99</v>
      </c>
      <c r="Z553" s="631"/>
      <c r="AA553" s="631"/>
      <c r="AB553" s="631"/>
      <c r="AC553" s="631"/>
      <c r="AD553" s="631"/>
      <c r="AF553" s="627">
        <v>0</v>
      </c>
      <c r="AG553" s="627"/>
      <c r="AH553" s="627"/>
      <c r="AI553" s="627"/>
      <c r="AJ553" s="627"/>
      <c r="AK553" s="627"/>
      <c r="AL553" s="627"/>
    </row>
    <row r="554" spans="1:38" ht="11.1" customHeight="1" x14ac:dyDescent="0.25">
      <c r="A554" s="630" t="s">
        <v>3876</v>
      </c>
      <c r="B554" s="630"/>
      <c r="C554" s="630"/>
      <c r="M554" s="630" t="s">
        <v>2217</v>
      </c>
      <c r="N554" s="630"/>
      <c r="O554" s="630"/>
      <c r="P554" s="630"/>
      <c r="Q554" s="627">
        <v>0</v>
      </c>
      <c r="R554" s="627"/>
      <c r="T554" s="631">
        <v>2390.21</v>
      </c>
      <c r="U554" s="631"/>
      <c r="V554" s="631"/>
      <c r="Y554" s="631">
        <v>2390.21</v>
      </c>
      <c r="Z554" s="631"/>
      <c r="AA554" s="631"/>
      <c r="AB554" s="631"/>
      <c r="AC554" s="631"/>
      <c r="AD554" s="631"/>
      <c r="AF554" s="627">
        <v>0</v>
      </c>
      <c r="AG554" s="627"/>
      <c r="AH554" s="627"/>
      <c r="AI554" s="627"/>
      <c r="AJ554" s="627"/>
      <c r="AK554" s="627"/>
      <c r="AL554" s="627"/>
    </row>
    <row r="555" spans="1:38" ht="11.1" customHeight="1" x14ac:dyDescent="0.25">
      <c r="A555" s="630" t="s">
        <v>3877</v>
      </c>
      <c r="B555" s="630"/>
      <c r="C555" s="630"/>
      <c r="M555" s="630" t="s">
        <v>2865</v>
      </c>
      <c r="N555" s="630"/>
      <c r="O555" s="630"/>
      <c r="P555" s="630"/>
      <c r="Q555" s="627">
        <v>0</v>
      </c>
      <c r="R555" s="627"/>
      <c r="T555" s="631">
        <v>2000</v>
      </c>
      <c r="U555" s="631"/>
      <c r="V555" s="631"/>
      <c r="Y555" s="631">
        <v>2000</v>
      </c>
      <c r="Z555" s="631"/>
      <c r="AA555" s="631"/>
      <c r="AB555" s="631"/>
      <c r="AC555" s="631"/>
      <c r="AD555" s="631"/>
      <c r="AF555" s="627">
        <v>0</v>
      </c>
      <c r="AG555" s="627"/>
      <c r="AH555" s="627"/>
      <c r="AI555" s="627"/>
      <c r="AJ555" s="627"/>
      <c r="AK555" s="627"/>
      <c r="AL555" s="627"/>
    </row>
    <row r="556" spans="1:38" ht="11.1" customHeight="1" x14ac:dyDescent="0.25">
      <c r="A556" s="630" t="s">
        <v>3878</v>
      </c>
      <c r="B556" s="630"/>
      <c r="C556" s="630"/>
      <c r="M556" s="630" t="s">
        <v>2867</v>
      </c>
      <c r="N556" s="630"/>
      <c r="O556" s="630"/>
      <c r="P556" s="630"/>
      <c r="Q556" s="627">
        <v>0</v>
      </c>
      <c r="R556" s="627"/>
      <c r="T556" s="631">
        <v>3.2</v>
      </c>
      <c r="U556" s="631"/>
      <c r="V556" s="631"/>
      <c r="Y556" s="631">
        <v>3.2</v>
      </c>
      <c r="Z556" s="631"/>
      <c r="AA556" s="631"/>
      <c r="AB556" s="631"/>
      <c r="AC556" s="631"/>
      <c r="AD556" s="631"/>
      <c r="AF556" s="627">
        <v>0</v>
      </c>
      <c r="AG556" s="627"/>
      <c r="AH556" s="627"/>
      <c r="AI556" s="627"/>
      <c r="AJ556" s="627"/>
      <c r="AK556" s="627"/>
      <c r="AL556" s="627"/>
    </row>
    <row r="557" spans="1:38" ht="11.1" customHeight="1" x14ac:dyDescent="0.25">
      <c r="A557" s="630" t="s">
        <v>3879</v>
      </c>
      <c r="B557" s="630"/>
      <c r="C557" s="630"/>
      <c r="M557" s="630" t="s">
        <v>2869</v>
      </c>
      <c r="N557" s="630"/>
      <c r="O557" s="630"/>
      <c r="P557" s="630"/>
      <c r="Q557" s="627">
        <v>-348.72</v>
      </c>
      <c r="R557" s="627"/>
      <c r="T557" s="631">
        <v>348.72</v>
      </c>
      <c r="U557" s="631"/>
      <c r="V557" s="631"/>
      <c r="Y557" s="631">
        <v>340.8</v>
      </c>
      <c r="Z557" s="631"/>
      <c r="AA557" s="631"/>
      <c r="AB557" s="631"/>
      <c r="AC557" s="631"/>
      <c r="AD557" s="631"/>
      <c r="AF557" s="627">
        <v>-340.8</v>
      </c>
      <c r="AG557" s="627"/>
      <c r="AH557" s="627"/>
      <c r="AI557" s="627"/>
      <c r="AJ557" s="627"/>
      <c r="AK557" s="627"/>
      <c r="AL557" s="627"/>
    </row>
    <row r="558" spans="1:38" ht="11.1" customHeight="1" x14ac:dyDescent="0.25">
      <c r="A558" s="630" t="s">
        <v>3880</v>
      </c>
      <c r="B558" s="630"/>
      <c r="C558" s="630"/>
      <c r="M558" s="630" t="s">
        <v>2447</v>
      </c>
      <c r="N558" s="630"/>
      <c r="O558" s="630"/>
      <c r="P558" s="630"/>
      <c r="Q558" s="627">
        <v>0</v>
      </c>
      <c r="R558" s="627"/>
      <c r="T558" s="631">
        <v>42922.82</v>
      </c>
      <c r="U558" s="631"/>
      <c r="V558" s="631"/>
      <c r="Y558" s="631">
        <v>162737.01</v>
      </c>
      <c r="Z558" s="631"/>
      <c r="AA558" s="631"/>
      <c r="AB558" s="631"/>
      <c r="AC558" s="631"/>
      <c r="AD558" s="631"/>
      <c r="AF558" s="627">
        <v>-119814.19</v>
      </c>
      <c r="AG558" s="627"/>
      <c r="AH558" s="627"/>
      <c r="AI558" s="627"/>
      <c r="AJ558" s="627"/>
      <c r="AK558" s="627"/>
      <c r="AL558" s="627"/>
    </row>
    <row r="559" spans="1:38" ht="11.1" customHeight="1" x14ac:dyDescent="0.25">
      <c r="A559" s="630" t="s">
        <v>3881</v>
      </c>
      <c r="B559" s="630"/>
      <c r="C559" s="630"/>
      <c r="M559" s="630" t="s">
        <v>2871</v>
      </c>
      <c r="N559" s="630"/>
      <c r="O559" s="630"/>
      <c r="P559" s="630"/>
      <c r="Q559" s="627">
        <v>0</v>
      </c>
      <c r="R559" s="627"/>
      <c r="T559" s="631">
        <v>51.18</v>
      </c>
      <c r="U559" s="631"/>
      <c r="V559" s="631"/>
      <c r="Y559" s="631">
        <v>51.18</v>
      </c>
      <c r="Z559" s="631"/>
      <c r="AA559" s="631"/>
      <c r="AB559" s="631"/>
      <c r="AC559" s="631"/>
      <c r="AD559" s="631"/>
      <c r="AF559" s="627">
        <v>0</v>
      </c>
      <c r="AG559" s="627"/>
      <c r="AH559" s="627"/>
      <c r="AI559" s="627"/>
      <c r="AJ559" s="627"/>
      <c r="AK559" s="627"/>
      <c r="AL559" s="627"/>
    </row>
    <row r="560" spans="1:38" ht="11.1" customHeight="1" x14ac:dyDescent="0.25">
      <c r="A560" s="630" t="s">
        <v>3882</v>
      </c>
      <c r="B560" s="630"/>
      <c r="C560" s="630"/>
      <c r="M560" s="630" t="s">
        <v>2449</v>
      </c>
      <c r="N560" s="630"/>
      <c r="O560" s="630"/>
      <c r="P560" s="630"/>
      <c r="Q560" s="627">
        <v>0</v>
      </c>
      <c r="R560" s="627"/>
      <c r="T560" s="631">
        <v>1447.34</v>
      </c>
      <c r="U560" s="631"/>
      <c r="V560" s="631"/>
      <c r="Y560" s="631">
        <v>2385.9699999999998</v>
      </c>
      <c r="Z560" s="631"/>
      <c r="AA560" s="631"/>
      <c r="AB560" s="631"/>
      <c r="AC560" s="631"/>
      <c r="AD560" s="631"/>
      <c r="AF560" s="627">
        <v>-938.63</v>
      </c>
      <c r="AG560" s="627"/>
      <c r="AH560" s="627"/>
      <c r="AI560" s="627"/>
      <c r="AJ560" s="627"/>
      <c r="AK560" s="627"/>
      <c r="AL560" s="627"/>
    </row>
    <row r="561" spans="1:38" ht="11.1" customHeight="1" x14ac:dyDescent="0.25">
      <c r="A561" s="630" t="s">
        <v>3883</v>
      </c>
      <c r="B561" s="630"/>
      <c r="C561" s="630"/>
      <c r="M561" s="630" t="s">
        <v>2873</v>
      </c>
      <c r="N561" s="630"/>
      <c r="O561" s="630"/>
      <c r="P561" s="630"/>
      <c r="Q561" s="627">
        <v>0</v>
      </c>
      <c r="R561" s="627"/>
      <c r="T561" s="631">
        <v>10893.69</v>
      </c>
      <c r="U561" s="631"/>
      <c r="V561" s="631"/>
      <c r="Y561" s="631">
        <v>10893.69</v>
      </c>
      <c r="Z561" s="631"/>
      <c r="AA561" s="631"/>
      <c r="AB561" s="631"/>
      <c r="AC561" s="631"/>
      <c r="AD561" s="631"/>
      <c r="AF561" s="627">
        <v>0</v>
      </c>
      <c r="AG561" s="627"/>
      <c r="AH561" s="627"/>
      <c r="AI561" s="627"/>
      <c r="AJ561" s="627"/>
      <c r="AK561" s="627"/>
      <c r="AL561" s="627"/>
    </row>
    <row r="562" spans="1:38" ht="11.1" customHeight="1" x14ac:dyDescent="0.25">
      <c r="A562" s="630" t="s">
        <v>3884</v>
      </c>
      <c r="B562" s="630"/>
      <c r="C562" s="630"/>
      <c r="M562" s="630" t="s">
        <v>2875</v>
      </c>
      <c r="N562" s="630"/>
      <c r="O562" s="630"/>
      <c r="P562" s="630"/>
      <c r="Q562" s="627">
        <v>0</v>
      </c>
      <c r="R562" s="627"/>
      <c r="T562" s="631">
        <v>14255.34</v>
      </c>
      <c r="U562" s="631"/>
      <c r="V562" s="631"/>
      <c r="Y562" s="631">
        <v>14255.34</v>
      </c>
      <c r="Z562" s="631"/>
      <c r="AA562" s="631"/>
      <c r="AB562" s="631"/>
      <c r="AC562" s="631"/>
      <c r="AD562" s="631"/>
      <c r="AF562" s="627">
        <v>0</v>
      </c>
      <c r="AG562" s="627"/>
      <c r="AH562" s="627"/>
      <c r="AI562" s="627"/>
      <c r="AJ562" s="627"/>
      <c r="AK562" s="627"/>
      <c r="AL562" s="627"/>
    </row>
    <row r="563" spans="1:38" ht="11.1" customHeight="1" x14ac:dyDescent="0.25">
      <c r="A563" s="630" t="s">
        <v>3885</v>
      </c>
      <c r="B563" s="630"/>
      <c r="C563" s="630"/>
      <c r="M563" s="630" t="s">
        <v>2877</v>
      </c>
      <c r="N563" s="630"/>
      <c r="O563" s="630"/>
      <c r="P563" s="630"/>
      <c r="Q563" s="627">
        <v>0</v>
      </c>
      <c r="R563" s="627"/>
      <c r="T563" s="631">
        <v>176.4</v>
      </c>
      <c r="U563" s="631"/>
      <c r="V563" s="631"/>
      <c r="Y563" s="631">
        <v>265.08</v>
      </c>
      <c r="Z563" s="631"/>
      <c r="AA563" s="631"/>
      <c r="AB563" s="631"/>
      <c r="AC563" s="631"/>
      <c r="AD563" s="631"/>
      <c r="AF563" s="627">
        <v>-88.68</v>
      </c>
      <c r="AG563" s="627"/>
      <c r="AH563" s="627"/>
      <c r="AI563" s="627"/>
      <c r="AJ563" s="627"/>
      <c r="AK563" s="627"/>
      <c r="AL563" s="627"/>
    </row>
    <row r="564" spans="1:38" ht="11.1" customHeight="1" x14ac:dyDescent="0.25">
      <c r="A564" s="630" t="s">
        <v>3886</v>
      </c>
      <c r="B564" s="630"/>
      <c r="C564" s="630"/>
      <c r="M564" s="630" t="s">
        <v>2231</v>
      </c>
      <c r="N564" s="630"/>
      <c r="O564" s="630"/>
      <c r="P564" s="630"/>
      <c r="Q564" s="627">
        <v>0</v>
      </c>
      <c r="R564" s="627"/>
      <c r="T564" s="631">
        <v>3395.5</v>
      </c>
      <c r="U564" s="631"/>
      <c r="V564" s="631"/>
      <c r="Y564" s="631">
        <v>3395.5</v>
      </c>
      <c r="Z564" s="631"/>
      <c r="AA564" s="631"/>
      <c r="AB564" s="631"/>
      <c r="AC564" s="631"/>
      <c r="AD564" s="631"/>
      <c r="AF564" s="627">
        <v>0</v>
      </c>
      <c r="AG564" s="627"/>
      <c r="AH564" s="627"/>
      <c r="AI564" s="627"/>
      <c r="AJ564" s="627"/>
      <c r="AK564" s="627"/>
      <c r="AL564" s="627"/>
    </row>
    <row r="565" spans="1:38" ht="11.1" customHeight="1" x14ac:dyDescent="0.25">
      <c r="A565" s="630" t="s">
        <v>3887</v>
      </c>
      <c r="B565" s="630"/>
      <c r="C565" s="630"/>
      <c r="M565" s="630" t="s">
        <v>2451</v>
      </c>
      <c r="N565" s="630"/>
      <c r="O565" s="630"/>
      <c r="P565" s="630"/>
      <c r="Q565" s="627">
        <v>0</v>
      </c>
      <c r="R565" s="627"/>
      <c r="T565" s="631">
        <v>123.53</v>
      </c>
      <c r="U565" s="631"/>
      <c r="V565" s="631"/>
      <c r="Y565" s="631">
        <v>123.53</v>
      </c>
      <c r="Z565" s="631"/>
      <c r="AA565" s="631"/>
      <c r="AB565" s="631"/>
      <c r="AC565" s="631"/>
      <c r="AD565" s="631"/>
      <c r="AF565" s="627">
        <v>0</v>
      </c>
      <c r="AG565" s="627"/>
      <c r="AH565" s="627"/>
      <c r="AI565" s="627"/>
      <c r="AJ565" s="627"/>
      <c r="AK565" s="627"/>
      <c r="AL565" s="627"/>
    </row>
    <row r="566" spans="1:38" ht="11.1" customHeight="1" x14ac:dyDescent="0.25">
      <c r="A566" s="630" t="s">
        <v>3888</v>
      </c>
      <c r="B566" s="630"/>
      <c r="C566" s="630"/>
      <c r="M566" s="630" t="s">
        <v>2453</v>
      </c>
      <c r="N566" s="630"/>
      <c r="O566" s="630"/>
      <c r="P566" s="630"/>
      <c r="Q566" s="627">
        <v>-26400</v>
      </c>
      <c r="R566" s="627"/>
      <c r="T566" s="631">
        <v>0</v>
      </c>
      <c r="U566" s="631"/>
      <c r="V566" s="631"/>
      <c r="Y566" s="631">
        <v>0</v>
      </c>
      <c r="Z566" s="631"/>
      <c r="AA566" s="631"/>
      <c r="AB566" s="631"/>
      <c r="AC566" s="631"/>
      <c r="AD566" s="631"/>
      <c r="AF566" s="627">
        <v>-26400</v>
      </c>
      <c r="AG566" s="627"/>
      <c r="AH566" s="627"/>
      <c r="AI566" s="627"/>
      <c r="AJ566" s="627"/>
      <c r="AK566" s="627"/>
      <c r="AL566" s="627"/>
    </row>
    <row r="567" spans="1:38" ht="11.1" customHeight="1" x14ac:dyDescent="0.25">
      <c r="A567" s="630" t="s">
        <v>3889</v>
      </c>
      <c r="B567" s="630"/>
      <c r="C567" s="630"/>
      <c r="M567" s="630" t="s">
        <v>2879</v>
      </c>
      <c r="N567" s="630"/>
      <c r="O567" s="630"/>
      <c r="P567" s="630"/>
      <c r="Q567" s="627">
        <v>-166.23</v>
      </c>
      <c r="R567" s="627"/>
      <c r="T567" s="631">
        <v>166.23</v>
      </c>
      <c r="U567" s="631"/>
      <c r="V567" s="631"/>
      <c r="Y567" s="631">
        <v>0</v>
      </c>
      <c r="Z567" s="631"/>
      <c r="AA567" s="631"/>
      <c r="AB567" s="631"/>
      <c r="AC567" s="631"/>
      <c r="AD567" s="631"/>
      <c r="AF567" s="627">
        <v>0</v>
      </c>
      <c r="AG567" s="627"/>
      <c r="AH567" s="627"/>
      <c r="AI567" s="627"/>
      <c r="AJ567" s="627"/>
      <c r="AK567" s="627"/>
      <c r="AL567" s="627"/>
    </row>
    <row r="568" spans="1:38" ht="11.1" customHeight="1" x14ac:dyDescent="0.25">
      <c r="A568" s="630" t="s">
        <v>3890</v>
      </c>
      <c r="B568" s="630"/>
      <c r="C568" s="630"/>
      <c r="M568" s="630" t="s">
        <v>2275</v>
      </c>
      <c r="N568" s="630"/>
      <c r="O568" s="630"/>
      <c r="P568" s="630"/>
      <c r="Q568" s="627">
        <v>0</v>
      </c>
      <c r="R568" s="627"/>
      <c r="T568" s="631">
        <v>36.65</v>
      </c>
      <c r="U568" s="631"/>
      <c r="V568" s="631"/>
      <c r="Y568" s="631">
        <v>36.65</v>
      </c>
      <c r="Z568" s="631"/>
      <c r="AA568" s="631"/>
      <c r="AB568" s="631"/>
      <c r="AC568" s="631"/>
      <c r="AD568" s="631"/>
      <c r="AF568" s="627">
        <v>0</v>
      </c>
      <c r="AG568" s="627"/>
      <c r="AH568" s="627"/>
      <c r="AI568" s="627"/>
      <c r="AJ568" s="627"/>
      <c r="AK568" s="627"/>
      <c r="AL568" s="627"/>
    </row>
    <row r="569" spans="1:38" ht="11.1" customHeight="1" x14ac:dyDescent="0.25">
      <c r="A569" s="630" t="s">
        <v>3891</v>
      </c>
      <c r="B569" s="630"/>
      <c r="C569" s="630"/>
      <c r="M569" s="630" t="s">
        <v>930</v>
      </c>
      <c r="N569" s="630"/>
      <c r="O569" s="630"/>
      <c r="P569" s="630"/>
      <c r="Q569" s="627">
        <v>-385.8</v>
      </c>
      <c r="R569" s="627"/>
      <c r="T569" s="631">
        <v>385.8</v>
      </c>
      <c r="U569" s="631"/>
      <c r="V569" s="631"/>
      <c r="Y569" s="631">
        <v>397.84</v>
      </c>
      <c r="Z569" s="631"/>
      <c r="AA569" s="631"/>
      <c r="AB569" s="631"/>
      <c r="AC569" s="631"/>
      <c r="AD569" s="631"/>
      <c r="AF569" s="627">
        <v>-397.84</v>
      </c>
      <c r="AG569" s="627"/>
      <c r="AH569" s="627"/>
      <c r="AI569" s="627"/>
      <c r="AJ569" s="627"/>
      <c r="AK569" s="627"/>
      <c r="AL569" s="627"/>
    </row>
    <row r="570" spans="1:38" ht="11.1" customHeight="1" x14ac:dyDescent="0.25">
      <c r="A570" s="630" t="s">
        <v>3892</v>
      </c>
      <c r="B570" s="630"/>
      <c r="C570" s="630"/>
      <c r="M570" s="630" t="s">
        <v>932</v>
      </c>
      <c r="N570" s="630"/>
      <c r="O570" s="630"/>
      <c r="P570" s="630"/>
      <c r="Q570" s="627">
        <v>-61.36</v>
      </c>
      <c r="R570" s="627"/>
      <c r="T570" s="631">
        <v>61.36</v>
      </c>
      <c r="U570" s="631"/>
      <c r="V570" s="631"/>
      <c r="Y570" s="631">
        <v>30.68</v>
      </c>
      <c r="Z570" s="631"/>
      <c r="AA570" s="631"/>
      <c r="AB570" s="631"/>
      <c r="AC570" s="631"/>
      <c r="AD570" s="631"/>
      <c r="AF570" s="627">
        <v>-30.68</v>
      </c>
      <c r="AG570" s="627"/>
      <c r="AH570" s="627"/>
      <c r="AI570" s="627"/>
      <c r="AJ570" s="627"/>
      <c r="AK570" s="627"/>
      <c r="AL570" s="627"/>
    </row>
    <row r="571" spans="1:38" ht="11.1" customHeight="1" x14ac:dyDescent="0.25">
      <c r="A571" s="630" t="s">
        <v>3893</v>
      </c>
      <c r="B571" s="630"/>
      <c r="C571" s="630"/>
      <c r="M571" s="630" t="s">
        <v>2881</v>
      </c>
      <c r="N571" s="630"/>
      <c r="O571" s="630"/>
      <c r="P571" s="630"/>
      <c r="Q571" s="627">
        <v>0</v>
      </c>
      <c r="R571" s="627"/>
      <c r="T571" s="631">
        <v>885.9</v>
      </c>
      <c r="U571" s="631"/>
      <c r="V571" s="631"/>
      <c r="Y571" s="631">
        <v>885.9</v>
      </c>
      <c r="Z571" s="631"/>
      <c r="AA571" s="631"/>
      <c r="AB571" s="631"/>
      <c r="AC571" s="631"/>
      <c r="AD571" s="631"/>
      <c r="AF571" s="627">
        <v>0</v>
      </c>
      <c r="AG571" s="627"/>
      <c r="AH571" s="627"/>
      <c r="AI571" s="627"/>
      <c r="AJ571" s="627"/>
      <c r="AK571" s="627"/>
      <c r="AL571" s="627"/>
    </row>
    <row r="572" spans="1:38" ht="11.1" customHeight="1" x14ac:dyDescent="0.25">
      <c r="A572" s="630" t="s">
        <v>3894</v>
      </c>
      <c r="B572" s="630"/>
      <c r="C572" s="630"/>
      <c r="M572" s="630" t="s">
        <v>2455</v>
      </c>
      <c r="N572" s="630"/>
      <c r="O572" s="630"/>
      <c r="P572" s="630"/>
      <c r="Q572" s="627">
        <v>-98858.39</v>
      </c>
      <c r="R572" s="627"/>
      <c r="T572" s="631">
        <v>0</v>
      </c>
      <c r="U572" s="631"/>
      <c r="V572" s="631"/>
      <c r="Y572" s="631">
        <v>0</v>
      </c>
      <c r="Z572" s="631"/>
      <c r="AA572" s="631"/>
      <c r="AB572" s="631"/>
      <c r="AC572" s="631"/>
      <c r="AD572" s="631"/>
      <c r="AF572" s="627">
        <v>-98858.39</v>
      </c>
      <c r="AG572" s="627"/>
      <c r="AH572" s="627"/>
      <c r="AI572" s="627"/>
      <c r="AJ572" s="627"/>
      <c r="AK572" s="627"/>
      <c r="AL572" s="627"/>
    </row>
    <row r="573" spans="1:38" ht="11.1" customHeight="1" x14ac:dyDescent="0.25">
      <c r="A573" s="630" t="s">
        <v>3895</v>
      </c>
      <c r="B573" s="630"/>
      <c r="C573" s="630"/>
      <c r="M573" s="630" t="s">
        <v>2457</v>
      </c>
      <c r="N573" s="630"/>
      <c r="O573" s="630"/>
      <c r="P573" s="630"/>
      <c r="Q573" s="627">
        <v>-4472.32</v>
      </c>
      <c r="R573" s="627"/>
      <c r="T573" s="631">
        <v>4472.32</v>
      </c>
      <c r="U573" s="631"/>
      <c r="V573" s="631"/>
      <c r="Y573" s="631">
        <v>4472.32</v>
      </c>
      <c r="Z573" s="631"/>
      <c r="AA573" s="631"/>
      <c r="AB573" s="631"/>
      <c r="AC573" s="631"/>
      <c r="AD573" s="631"/>
      <c r="AF573" s="627">
        <v>-4472.32</v>
      </c>
      <c r="AG573" s="627"/>
      <c r="AH573" s="627"/>
      <c r="AI573" s="627"/>
      <c r="AJ573" s="627"/>
      <c r="AK573" s="627"/>
      <c r="AL573" s="627"/>
    </row>
    <row r="574" spans="1:38" ht="11.1" customHeight="1" x14ac:dyDescent="0.25">
      <c r="A574" s="630" t="s">
        <v>3896</v>
      </c>
      <c r="B574" s="630"/>
      <c r="C574" s="630"/>
      <c r="M574" s="630" t="s">
        <v>2883</v>
      </c>
      <c r="N574" s="630"/>
      <c r="O574" s="630"/>
      <c r="P574" s="630"/>
      <c r="Q574" s="627">
        <v>-4678.05</v>
      </c>
      <c r="R574" s="627"/>
      <c r="T574" s="631">
        <v>697.68</v>
      </c>
      <c r="U574" s="631"/>
      <c r="V574" s="631"/>
      <c r="Y574" s="631">
        <v>0</v>
      </c>
      <c r="Z574" s="631"/>
      <c r="AA574" s="631"/>
      <c r="AB574" s="631"/>
      <c r="AC574" s="631"/>
      <c r="AD574" s="631"/>
      <c r="AF574" s="627">
        <v>-3980.37</v>
      </c>
      <c r="AG574" s="627"/>
      <c r="AH574" s="627"/>
      <c r="AI574" s="627"/>
      <c r="AJ574" s="627"/>
      <c r="AK574" s="627"/>
      <c r="AL574" s="627"/>
    </row>
    <row r="575" spans="1:38" ht="11.1" customHeight="1" x14ac:dyDescent="0.25">
      <c r="A575" s="630" t="s">
        <v>3897</v>
      </c>
      <c r="B575" s="630"/>
      <c r="C575" s="630"/>
      <c r="M575" s="630" t="s">
        <v>2277</v>
      </c>
      <c r="N575" s="630"/>
      <c r="O575" s="630"/>
      <c r="P575" s="630"/>
      <c r="Q575" s="627">
        <v>-57734.83</v>
      </c>
      <c r="R575" s="627"/>
      <c r="T575" s="631">
        <v>166786.60999999999</v>
      </c>
      <c r="U575" s="631"/>
      <c r="V575" s="631"/>
      <c r="Y575" s="631">
        <v>109051.78</v>
      </c>
      <c r="Z575" s="631"/>
      <c r="AA575" s="631"/>
      <c r="AB575" s="631"/>
      <c r="AC575" s="631"/>
      <c r="AD575" s="631"/>
      <c r="AF575" s="627">
        <v>0</v>
      </c>
      <c r="AG575" s="627"/>
      <c r="AH575" s="627"/>
      <c r="AI575" s="627"/>
      <c r="AJ575" s="627"/>
      <c r="AK575" s="627"/>
      <c r="AL575" s="627"/>
    </row>
    <row r="576" spans="1:38" ht="11.1" customHeight="1" x14ac:dyDescent="0.25">
      <c r="A576" s="630" t="s">
        <v>3898</v>
      </c>
      <c r="B576" s="630"/>
      <c r="C576" s="630"/>
      <c r="M576" s="630" t="s">
        <v>2459</v>
      </c>
      <c r="N576" s="630"/>
      <c r="O576" s="630"/>
      <c r="P576" s="630"/>
      <c r="Q576" s="627">
        <v>-216.84</v>
      </c>
      <c r="R576" s="627"/>
      <c r="T576" s="631">
        <v>216.84</v>
      </c>
      <c r="U576" s="631"/>
      <c r="V576" s="631"/>
      <c r="Y576" s="631">
        <v>0</v>
      </c>
      <c r="Z576" s="631"/>
      <c r="AA576" s="631"/>
      <c r="AB576" s="631"/>
      <c r="AC576" s="631"/>
      <c r="AD576" s="631"/>
      <c r="AF576" s="627">
        <v>0</v>
      </c>
      <c r="AG576" s="627"/>
      <c r="AH576" s="627"/>
      <c r="AI576" s="627"/>
      <c r="AJ576" s="627"/>
      <c r="AK576" s="627"/>
      <c r="AL576" s="627"/>
    </row>
    <row r="577" spans="1:38" ht="11.1" customHeight="1" x14ac:dyDescent="0.25">
      <c r="A577" s="630" t="s">
        <v>3899</v>
      </c>
      <c r="B577" s="630"/>
      <c r="C577" s="630"/>
      <c r="M577" s="630" t="s">
        <v>2885</v>
      </c>
      <c r="N577" s="630"/>
      <c r="O577" s="630"/>
      <c r="P577" s="630"/>
      <c r="Q577" s="627">
        <v>0</v>
      </c>
      <c r="R577" s="627"/>
      <c r="T577" s="631">
        <v>680</v>
      </c>
      <c r="U577" s="631"/>
      <c r="V577" s="631"/>
      <c r="Y577" s="631">
        <v>680</v>
      </c>
      <c r="Z577" s="631"/>
      <c r="AA577" s="631"/>
      <c r="AB577" s="631"/>
      <c r="AC577" s="631"/>
      <c r="AD577" s="631"/>
      <c r="AF577" s="627">
        <v>0</v>
      </c>
      <c r="AG577" s="627"/>
      <c r="AH577" s="627"/>
      <c r="AI577" s="627"/>
      <c r="AJ577" s="627"/>
      <c r="AK577" s="627"/>
      <c r="AL577" s="627"/>
    </row>
    <row r="578" spans="1:38" ht="11.1" customHeight="1" x14ac:dyDescent="0.25">
      <c r="A578" s="630" t="s">
        <v>3900</v>
      </c>
      <c r="B578" s="630"/>
      <c r="C578" s="630"/>
      <c r="M578" s="630" t="s">
        <v>2887</v>
      </c>
      <c r="N578" s="630"/>
      <c r="O578" s="630"/>
      <c r="P578" s="630"/>
      <c r="Q578" s="627">
        <v>-11746.94</v>
      </c>
      <c r="R578" s="627"/>
      <c r="T578" s="631">
        <v>11746.94</v>
      </c>
      <c r="U578" s="631"/>
      <c r="V578" s="631"/>
      <c r="Y578" s="631">
        <v>9830.75</v>
      </c>
      <c r="Z578" s="631"/>
      <c r="AA578" s="631"/>
      <c r="AB578" s="631"/>
      <c r="AC578" s="631"/>
      <c r="AD578" s="631"/>
      <c r="AF578" s="627">
        <v>-9830.75</v>
      </c>
      <c r="AG578" s="627"/>
      <c r="AH578" s="627"/>
      <c r="AI578" s="627"/>
      <c r="AJ578" s="627"/>
      <c r="AK578" s="627"/>
      <c r="AL578" s="627"/>
    </row>
    <row r="579" spans="1:38" ht="11.1" customHeight="1" x14ac:dyDescent="0.25">
      <c r="A579" s="630" t="s">
        <v>3901</v>
      </c>
      <c r="B579" s="630"/>
      <c r="C579" s="630"/>
      <c r="M579" s="630" t="s">
        <v>2889</v>
      </c>
      <c r="N579" s="630"/>
      <c r="O579" s="630"/>
      <c r="P579" s="630"/>
      <c r="Q579" s="627">
        <v>-30600</v>
      </c>
      <c r="R579" s="627"/>
      <c r="T579" s="631">
        <v>30600</v>
      </c>
      <c r="U579" s="631"/>
      <c r="V579" s="631"/>
      <c r="Y579" s="631">
        <v>0</v>
      </c>
      <c r="Z579" s="631"/>
      <c r="AA579" s="631"/>
      <c r="AB579" s="631"/>
      <c r="AC579" s="631"/>
      <c r="AD579" s="631"/>
      <c r="AF579" s="627">
        <v>0</v>
      </c>
      <c r="AG579" s="627"/>
      <c r="AH579" s="627"/>
      <c r="AI579" s="627"/>
      <c r="AJ579" s="627"/>
      <c r="AK579" s="627"/>
      <c r="AL579" s="627"/>
    </row>
    <row r="580" spans="1:38" ht="11.1" customHeight="1" x14ac:dyDescent="0.25">
      <c r="A580" s="630" t="s">
        <v>3902</v>
      </c>
      <c r="B580" s="630"/>
      <c r="C580" s="630"/>
      <c r="M580" s="630" t="s">
        <v>2891</v>
      </c>
      <c r="N580" s="630"/>
      <c r="O580" s="630"/>
      <c r="P580" s="630"/>
      <c r="Q580" s="627">
        <v>0</v>
      </c>
      <c r="R580" s="627"/>
      <c r="T580" s="631">
        <v>0</v>
      </c>
      <c r="U580" s="631"/>
      <c r="V580" s="631"/>
      <c r="Y580" s="631">
        <v>1744.4</v>
      </c>
      <c r="Z580" s="631"/>
      <c r="AA580" s="631"/>
      <c r="AB580" s="631"/>
      <c r="AC580" s="631"/>
      <c r="AD580" s="631"/>
      <c r="AF580" s="627">
        <v>-1744.4</v>
      </c>
      <c r="AG580" s="627"/>
      <c r="AH580" s="627"/>
      <c r="AI580" s="627"/>
      <c r="AJ580" s="627"/>
      <c r="AK580" s="627"/>
      <c r="AL580" s="627"/>
    </row>
    <row r="581" spans="1:38" ht="11.1" customHeight="1" x14ac:dyDescent="0.25">
      <c r="A581" s="630" t="s">
        <v>3903</v>
      </c>
      <c r="B581" s="630"/>
      <c r="C581" s="630"/>
      <c r="M581" s="630" t="s">
        <v>2893</v>
      </c>
      <c r="N581" s="630"/>
      <c r="O581" s="630"/>
      <c r="P581" s="630"/>
      <c r="Q581" s="627">
        <v>0</v>
      </c>
      <c r="R581" s="627"/>
      <c r="T581" s="631">
        <v>5062.08</v>
      </c>
      <c r="U581" s="631"/>
      <c r="V581" s="631"/>
      <c r="Y581" s="631">
        <v>5062.08</v>
      </c>
      <c r="Z581" s="631"/>
      <c r="AA581" s="631"/>
      <c r="AB581" s="631"/>
      <c r="AC581" s="631"/>
      <c r="AD581" s="631"/>
      <c r="AF581" s="627">
        <v>0</v>
      </c>
      <c r="AG581" s="627"/>
      <c r="AH581" s="627"/>
      <c r="AI581" s="627"/>
      <c r="AJ581" s="627"/>
      <c r="AK581" s="627"/>
      <c r="AL581" s="627"/>
    </row>
    <row r="582" spans="1:38" ht="11.1" customHeight="1" x14ac:dyDescent="0.25">
      <c r="A582" s="630" t="s">
        <v>3904</v>
      </c>
      <c r="B582" s="630"/>
      <c r="C582" s="630"/>
      <c r="M582" s="630" t="s">
        <v>934</v>
      </c>
      <c r="N582" s="630"/>
      <c r="O582" s="630"/>
      <c r="P582" s="630"/>
      <c r="Q582" s="627">
        <v>0</v>
      </c>
      <c r="R582" s="627"/>
      <c r="T582" s="631">
        <v>444.71</v>
      </c>
      <c r="U582" s="631"/>
      <c r="V582" s="631"/>
      <c r="Y582" s="631">
        <v>444.71</v>
      </c>
      <c r="Z582" s="631"/>
      <c r="AA582" s="631"/>
      <c r="AB582" s="631"/>
      <c r="AC582" s="631"/>
      <c r="AD582" s="631"/>
      <c r="AF582" s="627">
        <v>0</v>
      </c>
      <c r="AG582" s="627"/>
      <c r="AH582" s="627"/>
      <c r="AI582" s="627"/>
      <c r="AJ582" s="627"/>
      <c r="AK582" s="627"/>
      <c r="AL582" s="627"/>
    </row>
    <row r="583" spans="1:38" ht="11.1" customHeight="1" x14ac:dyDescent="0.25">
      <c r="A583" s="630" t="s">
        <v>3905</v>
      </c>
      <c r="B583" s="630"/>
      <c r="C583" s="630"/>
      <c r="M583" s="630" t="s">
        <v>936</v>
      </c>
      <c r="N583" s="630"/>
      <c r="O583" s="630"/>
      <c r="P583" s="630"/>
      <c r="Q583" s="627">
        <v>0</v>
      </c>
      <c r="R583" s="627"/>
      <c r="T583" s="631">
        <v>24838.34</v>
      </c>
      <c r="U583" s="631"/>
      <c r="V583" s="631"/>
      <c r="Y583" s="631">
        <v>24838.34</v>
      </c>
      <c r="Z583" s="631"/>
      <c r="AA583" s="631"/>
      <c r="AB583" s="631"/>
      <c r="AC583" s="631"/>
      <c r="AD583" s="631"/>
      <c r="AF583" s="627">
        <v>0</v>
      </c>
      <c r="AG583" s="627"/>
      <c r="AH583" s="627"/>
      <c r="AI583" s="627"/>
      <c r="AJ583" s="627"/>
      <c r="AK583" s="627"/>
      <c r="AL583" s="627"/>
    </row>
    <row r="584" spans="1:38" ht="11.1" customHeight="1" x14ac:dyDescent="0.25">
      <c r="A584" s="630" t="s">
        <v>3906</v>
      </c>
      <c r="B584" s="630"/>
      <c r="C584" s="630"/>
      <c r="M584" s="630" t="s">
        <v>2461</v>
      </c>
      <c r="N584" s="630"/>
      <c r="O584" s="630"/>
      <c r="P584" s="630"/>
      <c r="Q584" s="627">
        <v>-32000</v>
      </c>
      <c r="R584" s="627"/>
      <c r="T584" s="631">
        <v>0</v>
      </c>
      <c r="U584" s="631"/>
      <c r="V584" s="631"/>
      <c r="Y584" s="631">
        <v>0</v>
      </c>
      <c r="Z584" s="631"/>
      <c r="AA584" s="631"/>
      <c r="AB584" s="631"/>
      <c r="AC584" s="631"/>
      <c r="AD584" s="631"/>
      <c r="AF584" s="627">
        <v>-32000</v>
      </c>
      <c r="AG584" s="627"/>
      <c r="AH584" s="627"/>
      <c r="AI584" s="627"/>
      <c r="AJ584" s="627"/>
      <c r="AK584" s="627"/>
      <c r="AL584" s="627"/>
    </row>
    <row r="585" spans="1:38" ht="11.1" customHeight="1" x14ac:dyDescent="0.25">
      <c r="A585" s="630" t="s">
        <v>3907</v>
      </c>
      <c r="B585" s="630"/>
      <c r="C585" s="630"/>
      <c r="M585" s="630" t="s">
        <v>2463</v>
      </c>
      <c r="N585" s="630"/>
      <c r="O585" s="630"/>
      <c r="P585" s="630"/>
      <c r="Q585" s="627">
        <v>0</v>
      </c>
      <c r="R585" s="627"/>
      <c r="T585" s="631">
        <v>136</v>
      </c>
      <c r="U585" s="631"/>
      <c r="V585" s="631"/>
      <c r="Y585" s="631">
        <v>136</v>
      </c>
      <c r="Z585" s="631"/>
      <c r="AA585" s="631"/>
      <c r="AB585" s="631"/>
      <c r="AC585" s="631"/>
      <c r="AD585" s="631"/>
      <c r="AF585" s="627">
        <v>0</v>
      </c>
      <c r="AG585" s="627"/>
      <c r="AH585" s="627"/>
      <c r="AI585" s="627"/>
      <c r="AJ585" s="627"/>
      <c r="AK585" s="627"/>
      <c r="AL585" s="627"/>
    </row>
    <row r="586" spans="1:38" ht="11.1" customHeight="1" x14ac:dyDescent="0.25">
      <c r="A586" s="630" t="s">
        <v>3908</v>
      </c>
      <c r="B586" s="630"/>
      <c r="C586" s="630"/>
      <c r="M586" s="630" t="s">
        <v>2895</v>
      </c>
      <c r="N586" s="630"/>
      <c r="O586" s="630"/>
      <c r="P586" s="630"/>
      <c r="Q586" s="627">
        <v>-38687.74</v>
      </c>
      <c r="R586" s="627"/>
      <c r="T586" s="631">
        <v>71050.84</v>
      </c>
      <c r="U586" s="631"/>
      <c r="V586" s="631"/>
      <c r="Y586" s="631">
        <v>71396.960000000006</v>
      </c>
      <c r="Z586" s="631"/>
      <c r="AA586" s="631"/>
      <c r="AB586" s="631"/>
      <c r="AC586" s="631"/>
      <c r="AD586" s="631"/>
      <c r="AF586" s="627">
        <v>-39033.86</v>
      </c>
      <c r="AG586" s="627"/>
      <c r="AH586" s="627"/>
      <c r="AI586" s="627"/>
      <c r="AJ586" s="627"/>
      <c r="AK586" s="627"/>
      <c r="AL586" s="627"/>
    </row>
    <row r="587" spans="1:38" ht="11.1" customHeight="1" x14ac:dyDescent="0.25">
      <c r="A587" s="630" t="s">
        <v>3909</v>
      </c>
      <c r="B587" s="630"/>
      <c r="C587" s="630"/>
      <c r="M587" s="630" t="s">
        <v>2897</v>
      </c>
      <c r="N587" s="630"/>
      <c r="O587" s="630"/>
      <c r="P587" s="630"/>
      <c r="Q587" s="627">
        <v>0</v>
      </c>
      <c r="R587" s="627"/>
      <c r="T587" s="631">
        <v>4223.25</v>
      </c>
      <c r="U587" s="631"/>
      <c r="V587" s="631"/>
      <c r="Y587" s="631">
        <v>4223.25</v>
      </c>
      <c r="Z587" s="631"/>
      <c r="AA587" s="631"/>
      <c r="AB587" s="631"/>
      <c r="AC587" s="631"/>
      <c r="AD587" s="631"/>
      <c r="AF587" s="627">
        <v>0</v>
      </c>
      <c r="AG587" s="627"/>
      <c r="AH587" s="627"/>
      <c r="AI587" s="627"/>
      <c r="AJ587" s="627"/>
      <c r="AK587" s="627"/>
      <c r="AL587" s="627"/>
    </row>
    <row r="588" spans="1:38" ht="11.1" customHeight="1" x14ac:dyDescent="0.25">
      <c r="A588" s="630" t="s">
        <v>3910</v>
      </c>
      <c r="B588" s="630"/>
      <c r="C588" s="630"/>
      <c r="M588" s="630" t="s">
        <v>938</v>
      </c>
      <c r="N588" s="630"/>
      <c r="O588" s="630"/>
      <c r="P588" s="630"/>
      <c r="Q588" s="627">
        <v>0</v>
      </c>
      <c r="R588" s="627"/>
      <c r="T588" s="631">
        <v>550</v>
      </c>
      <c r="U588" s="631"/>
      <c r="V588" s="631"/>
      <c r="Y588" s="631">
        <v>550</v>
      </c>
      <c r="Z588" s="631"/>
      <c r="AA588" s="631"/>
      <c r="AB588" s="631"/>
      <c r="AC588" s="631"/>
      <c r="AD588" s="631"/>
      <c r="AF588" s="627">
        <v>0</v>
      </c>
      <c r="AG588" s="627"/>
      <c r="AH588" s="627"/>
      <c r="AI588" s="627"/>
      <c r="AJ588" s="627"/>
      <c r="AK588" s="627"/>
      <c r="AL588" s="627"/>
    </row>
    <row r="589" spans="1:38" ht="11.1" customHeight="1" x14ac:dyDescent="0.25">
      <c r="A589" s="630" t="s">
        <v>3911</v>
      </c>
      <c r="B589" s="630"/>
      <c r="C589" s="630"/>
      <c r="M589" s="630" t="s">
        <v>940</v>
      </c>
      <c r="N589" s="630"/>
      <c r="O589" s="630"/>
      <c r="P589" s="630"/>
      <c r="Q589" s="627">
        <v>0</v>
      </c>
      <c r="R589" s="627"/>
      <c r="T589" s="631">
        <v>16910.03</v>
      </c>
      <c r="U589" s="631"/>
      <c r="V589" s="631"/>
      <c r="Y589" s="631">
        <v>16910.03</v>
      </c>
      <c r="Z589" s="631"/>
      <c r="AA589" s="631"/>
      <c r="AB589" s="631"/>
      <c r="AC589" s="631"/>
      <c r="AD589" s="631"/>
      <c r="AF589" s="627">
        <v>0</v>
      </c>
      <c r="AG589" s="627"/>
      <c r="AH589" s="627"/>
      <c r="AI589" s="627"/>
      <c r="AJ589" s="627"/>
      <c r="AK589" s="627"/>
      <c r="AL589" s="627"/>
    </row>
    <row r="590" spans="1:38" ht="11.1" customHeight="1" x14ac:dyDescent="0.25">
      <c r="A590" s="630" t="s">
        <v>3912</v>
      </c>
      <c r="B590" s="630"/>
      <c r="C590" s="630"/>
      <c r="M590" s="630" t="s">
        <v>942</v>
      </c>
      <c r="N590" s="630"/>
      <c r="O590" s="630"/>
      <c r="P590" s="630"/>
      <c r="Q590" s="627">
        <v>-1960.94</v>
      </c>
      <c r="R590" s="627"/>
      <c r="T590" s="631">
        <v>0</v>
      </c>
      <c r="U590" s="631"/>
      <c r="V590" s="631"/>
      <c r="Y590" s="631">
        <v>0</v>
      </c>
      <c r="Z590" s="631"/>
      <c r="AA590" s="631"/>
      <c r="AB590" s="631"/>
      <c r="AC590" s="631"/>
      <c r="AD590" s="631"/>
      <c r="AF590" s="627">
        <v>-1960.94</v>
      </c>
      <c r="AG590" s="627"/>
      <c r="AH590" s="627"/>
      <c r="AI590" s="627"/>
      <c r="AJ590" s="627"/>
      <c r="AK590" s="627"/>
      <c r="AL590" s="627"/>
    </row>
    <row r="591" spans="1:38" ht="11.1" customHeight="1" x14ac:dyDescent="0.25">
      <c r="A591" s="630" t="s">
        <v>3913</v>
      </c>
      <c r="B591" s="630"/>
      <c r="C591" s="630"/>
      <c r="M591" s="630" t="s">
        <v>2899</v>
      </c>
      <c r="N591" s="630"/>
      <c r="O591" s="630"/>
      <c r="P591" s="630"/>
      <c r="Q591" s="627">
        <v>0</v>
      </c>
      <c r="R591" s="627"/>
      <c r="T591" s="631">
        <v>88.78</v>
      </c>
      <c r="U591" s="631"/>
      <c r="V591" s="631"/>
      <c r="Y591" s="631">
        <v>88.78</v>
      </c>
      <c r="Z591" s="631"/>
      <c r="AA591" s="631"/>
      <c r="AB591" s="631"/>
      <c r="AC591" s="631"/>
      <c r="AD591" s="631"/>
      <c r="AF591" s="627">
        <v>0</v>
      </c>
      <c r="AG591" s="627"/>
      <c r="AH591" s="627"/>
      <c r="AI591" s="627"/>
      <c r="AJ591" s="627"/>
      <c r="AK591" s="627"/>
      <c r="AL591" s="627"/>
    </row>
    <row r="592" spans="1:38" ht="11.1" customHeight="1" x14ac:dyDescent="0.25">
      <c r="A592" s="630" t="s">
        <v>3914</v>
      </c>
      <c r="B592" s="630"/>
      <c r="C592" s="630"/>
      <c r="L592" s="630" t="s">
        <v>302</v>
      </c>
      <c r="M592" s="630"/>
      <c r="N592" s="630"/>
      <c r="O592" s="630"/>
      <c r="P592" s="630"/>
      <c r="Q592" s="627">
        <v>-50555.15</v>
      </c>
      <c r="R592" s="627"/>
      <c r="T592" s="631">
        <v>0</v>
      </c>
      <c r="U592" s="631"/>
      <c r="V592" s="631"/>
      <c r="Y592" s="631">
        <v>44596.58</v>
      </c>
      <c r="Z592" s="631"/>
      <c r="AA592" s="631"/>
      <c r="AB592" s="631"/>
      <c r="AC592" s="631"/>
      <c r="AD592" s="631"/>
      <c r="AF592" s="627">
        <v>-95151.73</v>
      </c>
      <c r="AG592" s="627"/>
      <c r="AH592" s="627"/>
      <c r="AI592" s="627"/>
      <c r="AJ592" s="627"/>
      <c r="AK592" s="627"/>
      <c r="AL592" s="627"/>
    </row>
    <row r="593" spans="1:38" ht="11.1" customHeight="1" x14ac:dyDescent="0.25">
      <c r="A593" s="630" t="s">
        <v>3915</v>
      </c>
      <c r="B593" s="630"/>
      <c r="C593" s="630"/>
      <c r="M593" s="630" t="s">
        <v>945</v>
      </c>
      <c r="N593" s="630"/>
      <c r="O593" s="630"/>
      <c r="P593" s="630"/>
      <c r="Q593" s="627">
        <v>-50555.15</v>
      </c>
      <c r="R593" s="627"/>
      <c r="T593" s="631">
        <v>0</v>
      </c>
      <c r="U593" s="631"/>
      <c r="V593" s="631"/>
      <c r="Y593" s="631">
        <v>44596.58</v>
      </c>
      <c r="Z593" s="631"/>
      <c r="AA593" s="631"/>
      <c r="AB593" s="631"/>
      <c r="AC593" s="631"/>
      <c r="AD593" s="631"/>
      <c r="AF593" s="627">
        <v>-95151.73</v>
      </c>
      <c r="AG593" s="627"/>
      <c r="AH593" s="627"/>
      <c r="AI593" s="627"/>
      <c r="AJ593" s="627"/>
      <c r="AK593" s="627"/>
      <c r="AL593" s="627"/>
    </row>
    <row r="594" spans="1:38" ht="11.1" customHeight="1" x14ac:dyDescent="0.25">
      <c r="A594" s="632" t="s">
        <v>3916</v>
      </c>
      <c r="B594" s="632"/>
      <c r="C594" s="632"/>
      <c r="I594" s="632" t="s">
        <v>947</v>
      </c>
      <c r="J594" s="632"/>
      <c r="K594" s="632"/>
      <c r="L594" s="632"/>
      <c r="M594" s="632"/>
      <c r="N594" s="632"/>
      <c r="O594" s="632"/>
      <c r="P594" s="632"/>
      <c r="Q594" s="633">
        <v>-5716412.0999999996</v>
      </c>
      <c r="R594" s="633"/>
      <c r="T594" s="634">
        <v>8075967.4800000004</v>
      </c>
      <c r="U594" s="634"/>
      <c r="V594" s="634"/>
      <c r="Y594" s="634">
        <v>6668026.6600000001</v>
      </c>
      <c r="Z594" s="634"/>
      <c r="AA594" s="634"/>
      <c r="AB594" s="634"/>
      <c r="AC594" s="634"/>
      <c r="AD594" s="634"/>
      <c r="AF594" s="633">
        <v>-4308471.28</v>
      </c>
      <c r="AG594" s="633"/>
      <c r="AH594" s="633"/>
      <c r="AI594" s="633"/>
      <c r="AJ594" s="633"/>
      <c r="AK594" s="633"/>
      <c r="AL594" s="633"/>
    </row>
    <row r="595" spans="1:38" ht="11.1" customHeight="1" x14ac:dyDescent="0.25">
      <c r="A595" s="632" t="s">
        <v>3917</v>
      </c>
      <c r="B595" s="632"/>
      <c r="C595" s="632"/>
      <c r="J595" s="632" t="s">
        <v>947</v>
      </c>
      <c r="K595" s="632"/>
      <c r="L595" s="632"/>
      <c r="M595" s="632"/>
      <c r="N595" s="632"/>
      <c r="O595" s="632"/>
      <c r="P595" s="632"/>
      <c r="Q595" s="633">
        <v>-5716412.0999999996</v>
      </c>
      <c r="R595" s="633"/>
      <c r="T595" s="634">
        <v>8075967.4800000004</v>
      </c>
      <c r="U595" s="634"/>
      <c r="V595" s="634"/>
      <c r="Y595" s="634">
        <v>6668026.6600000001</v>
      </c>
      <c r="Z595" s="634"/>
      <c r="AA595" s="634"/>
      <c r="AB595" s="634"/>
      <c r="AC595" s="634"/>
      <c r="AD595" s="634"/>
      <c r="AF595" s="633">
        <v>-4308471.28</v>
      </c>
      <c r="AG595" s="633"/>
      <c r="AH595" s="633"/>
      <c r="AI595" s="633"/>
      <c r="AJ595" s="633"/>
      <c r="AK595" s="633"/>
      <c r="AL595" s="633"/>
    </row>
    <row r="596" spans="1:38" ht="11.1" customHeight="1" x14ac:dyDescent="0.25">
      <c r="A596" s="630" t="s">
        <v>3918</v>
      </c>
      <c r="B596" s="630"/>
      <c r="C596" s="630"/>
      <c r="K596" s="630" t="s">
        <v>947</v>
      </c>
      <c r="L596" s="630"/>
      <c r="M596" s="630"/>
      <c r="N596" s="630"/>
      <c r="O596" s="630"/>
      <c r="P596" s="630"/>
      <c r="Q596" s="627">
        <v>-5716412.0999999996</v>
      </c>
      <c r="R596" s="627"/>
      <c r="T596" s="631">
        <v>8075967.4800000004</v>
      </c>
      <c r="U596" s="631"/>
      <c r="V596" s="631"/>
      <c r="Y596" s="631">
        <v>6668026.6600000001</v>
      </c>
      <c r="Z596" s="631"/>
      <c r="AA596" s="631"/>
      <c r="AB596" s="631"/>
      <c r="AC596" s="631"/>
      <c r="AD596" s="631"/>
      <c r="AF596" s="627">
        <v>-4308471.28</v>
      </c>
      <c r="AG596" s="627"/>
      <c r="AH596" s="627"/>
      <c r="AI596" s="627"/>
      <c r="AJ596" s="627"/>
      <c r="AK596" s="627"/>
      <c r="AL596" s="627"/>
    </row>
    <row r="597" spans="1:38" ht="11.1" customHeight="1" x14ac:dyDescent="0.25">
      <c r="A597" s="630" t="s">
        <v>3919</v>
      </c>
      <c r="B597" s="630"/>
      <c r="C597" s="630"/>
      <c r="L597" s="630" t="s">
        <v>947</v>
      </c>
      <c r="M597" s="630"/>
      <c r="N597" s="630"/>
      <c r="O597" s="630"/>
      <c r="P597" s="630"/>
      <c r="Q597" s="627">
        <v>-5716412.0999999996</v>
      </c>
      <c r="R597" s="627"/>
      <c r="T597" s="631">
        <v>8075967.4800000004</v>
      </c>
      <c r="U597" s="631"/>
      <c r="V597" s="631"/>
      <c r="Y597" s="631">
        <v>6668026.6600000001</v>
      </c>
      <c r="Z597" s="631"/>
      <c r="AA597" s="631"/>
      <c r="AB597" s="631"/>
      <c r="AC597" s="631"/>
      <c r="AD597" s="631"/>
      <c r="AF597" s="627">
        <v>-4308471.28</v>
      </c>
      <c r="AG597" s="627"/>
      <c r="AH597" s="627"/>
      <c r="AI597" s="627"/>
      <c r="AJ597" s="627"/>
      <c r="AK597" s="627"/>
      <c r="AL597" s="627"/>
    </row>
    <row r="598" spans="1:38" ht="11.1" customHeight="1" x14ac:dyDescent="0.25">
      <c r="A598" s="630" t="s">
        <v>3920</v>
      </c>
      <c r="B598" s="630"/>
      <c r="C598" s="630"/>
      <c r="M598" s="630" t="s">
        <v>952</v>
      </c>
      <c r="N598" s="630"/>
      <c r="O598" s="630"/>
      <c r="P598" s="630"/>
      <c r="Q598" s="627">
        <v>-2744210.61</v>
      </c>
      <c r="R598" s="627"/>
      <c r="T598" s="631">
        <v>2744210.61</v>
      </c>
      <c r="U598" s="631"/>
      <c r="V598" s="631"/>
      <c r="Y598" s="631">
        <v>4308471.28</v>
      </c>
      <c r="Z598" s="631"/>
      <c r="AA598" s="631"/>
      <c r="AB598" s="631"/>
      <c r="AC598" s="631"/>
      <c r="AD598" s="631"/>
      <c r="AF598" s="627">
        <v>-4308471.28</v>
      </c>
      <c r="AG598" s="627"/>
      <c r="AH598" s="627"/>
      <c r="AI598" s="627"/>
      <c r="AJ598" s="627"/>
      <c r="AK598" s="627"/>
      <c r="AL598" s="627"/>
    </row>
    <row r="599" spans="1:38" ht="11.1" customHeight="1" x14ac:dyDescent="0.25">
      <c r="A599" s="630" t="s">
        <v>3921</v>
      </c>
      <c r="B599" s="630"/>
      <c r="C599" s="630"/>
      <c r="M599" s="630" t="s">
        <v>2465</v>
      </c>
      <c r="N599" s="630"/>
      <c r="O599" s="630"/>
      <c r="P599" s="630"/>
      <c r="Q599" s="627">
        <v>0</v>
      </c>
      <c r="R599" s="627"/>
      <c r="T599" s="631">
        <v>590601.97</v>
      </c>
      <c r="U599" s="631"/>
      <c r="V599" s="631"/>
      <c r="Y599" s="631">
        <v>590601.97</v>
      </c>
      <c r="Z599" s="631"/>
      <c r="AA599" s="631"/>
      <c r="AB599" s="631"/>
      <c r="AC599" s="631"/>
      <c r="AD599" s="631"/>
      <c r="AF599" s="627">
        <v>0</v>
      </c>
      <c r="AG599" s="627"/>
      <c r="AH599" s="627"/>
      <c r="AI599" s="627"/>
      <c r="AJ599" s="627"/>
      <c r="AK599" s="627"/>
      <c r="AL599" s="627"/>
    </row>
    <row r="600" spans="1:38" ht="11.1" customHeight="1" x14ac:dyDescent="0.25">
      <c r="A600" s="630" t="s">
        <v>3922</v>
      </c>
      <c r="B600" s="630"/>
      <c r="C600" s="630"/>
      <c r="M600" s="630" t="s">
        <v>336</v>
      </c>
      <c r="N600" s="630"/>
      <c r="O600" s="630"/>
      <c r="P600" s="630"/>
      <c r="Q600" s="627">
        <v>0</v>
      </c>
      <c r="R600" s="627"/>
      <c r="T600" s="631">
        <v>658197.01</v>
      </c>
      <c r="U600" s="631"/>
      <c r="V600" s="631"/>
      <c r="Y600" s="631">
        <v>658197.01</v>
      </c>
      <c r="Z600" s="631"/>
      <c r="AA600" s="631"/>
      <c r="AB600" s="631"/>
      <c r="AC600" s="631"/>
      <c r="AD600" s="631"/>
      <c r="AF600" s="627">
        <v>0</v>
      </c>
      <c r="AG600" s="627"/>
      <c r="AH600" s="627"/>
      <c r="AI600" s="627"/>
      <c r="AJ600" s="627"/>
      <c r="AK600" s="627"/>
      <c r="AL600" s="627"/>
    </row>
    <row r="601" spans="1:38" ht="11.1" customHeight="1" x14ac:dyDescent="0.25">
      <c r="A601" s="630" t="s">
        <v>3923</v>
      </c>
      <c r="B601" s="630"/>
      <c r="C601" s="630"/>
      <c r="M601" s="630" t="s">
        <v>2900</v>
      </c>
      <c r="N601" s="630"/>
      <c r="O601" s="630"/>
      <c r="P601" s="630"/>
      <c r="Q601" s="627">
        <v>-2972201.49</v>
      </c>
      <c r="R601" s="627"/>
      <c r="T601" s="631">
        <v>3160356.5</v>
      </c>
      <c r="U601" s="631"/>
      <c r="V601" s="631"/>
      <c r="Y601" s="631">
        <v>188155.01</v>
      </c>
      <c r="Z601" s="631"/>
      <c r="AA601" s="631"/>
      <c r="AB601" s="631"/>
      <c r="AC601" s="631"/>
      <c r="AD601" s="631"/>
      <c r="AF601" s="627">
        <v>0</v>
      </c>
      <c r="AG601" s="627"/>
      <c r="AH601" s="627"/>
      <c r="AI601" s="627"/>
      <c r="AJ601" s="627"/>
      <c r="AK601" s="627"/>
      <c r="AL601" s="627"/>
    </row>
    <row r="602" spans="1:38" ht="11.1" customHeight="1" x14ac:dyDescent="0.25">
      <c r="A602" s="630" t="s">
        <v>3924</v>
      </c>
      <c r="B602" s="630"/>
      <c r="C602" s="630"/>
      <c r="M602" s="630" t="s">
        <v>2774</v>
      </c>
      <c r="N602" s="630"/>
      <c r="O602" s="630"/>
      <c r="P602" s="630"/>
      <c r="Q602" s="627">
        <v>0</v>
      </c>
      <c r="R602" s="627"/>
      <c r="T602" s="631">
        <v>68014.289999999994</v>
      </c>
      <c r="U602" s="631"/>
      <c r="V602" s="631"/>
      <c r="Y602" s="631">
        <v>68014.289999999994</v>
      </c>
      <c r="Z602" s="631"/>
      <c r="AA602" s="631"/>
      <c r="AB602" s="631"/>
      <c r="AC602" s="631"/>
      <c r="AD602" s="631"/>
      <c r="AF602" s="627">
        <v>0</v>
      </c>
      <c r="AG602" s="627"/>
      <c r="AH602" s="627"/>
      <c r="AI602" s="627"/>
      <c r="AJ602" s="627"/>
      <c r="AK602" s="627"/>
      <c r="AL602" s="627"/>
    </row>
    <row r="603" spans="1:38" ht="11.1" customHeight="1" x14ac:dyDescent="0.25">
      <c r="A603" s="630" t="s">
        <v>3925</v>
      </c>
      <c r="B603" s="630"/>
      <c r="C603" s="630"/>
      <c r="M603" s="630" t="s">
        <v>2903</v>
      </c>
      <c r="N603" s="630"/>
      <c r="O603" s="630"/>
      <c r="P603" s="630"/>
      <c r="Q603" s="627">
        <v>0</v>
      </c>
      <c r="R603" s="627"/>
      <c r="T603" s="631">
        <v>64524.36</v>
      </c>
      <c r="U603" s="631"/>
      <c r="V603" s="631"/>
      <c r="Y603" s="631">
        <v>64524.36</v>
      </c>
      <c r="Z603" s="631"/>
      <c r="AA603" s="631"/>
      <c r="AB603" s="631"/>
      <c r="AC603" s="631"/>
      <c r="AD603" s="631"/>
      <c r="AF603" s="627">
        <v>0</v>
      </c>
      <c r="AG603" s="627"/>
      <c r="AH603" s="627"/>
      <c r="AI603" s="627"/>
      <c r="AJ603" s="627"/>
      <c r="AK603" s="627"/>
      <c r="AL603" s="627"/>
    </row>
    <row r="604" spans="1:38" ht="11.1" customHeight="1" x14ac:dyDescent="0.25">
      <c r="A604" s="630" t="s">
        <v>3926</v>
      </c>
      <c r="B604" s="630"/>
      <c r="C604" s="630"/>
      <c r="M604" s="630" t="s">
        <v>2905</v>
      </c>
      <c r="N604" s="630"/>
      <c r="O604" s="630"/>
      <c r="P604" s="630"/>
      <c r="Q604" s="627">
        <v>0</v>
      </c>
      <c r="R604" s="627"/>
      <c r="T604" s="631">
        <v>327390.74</v>
      </c>
      <c r="U604" s="631"/>
      <c r="V604" s="631"/>
      <c r="Y604" s="631">
        <v>327390.74</v>
      </c>
      <c r="Z604" s="631"/>
      <c r="AA604" s="631"/>
      <c r="AB604" s="631"/>
      <c r="AC604" s="631"/>
      <c r="AD604" s="631"/>
      <c r="AF604" s="627">
        <v>0</v>
      </c>
      <c r="AG604" s="627"/>
      <c r="AH604" s="627"/>
      <c r="AI604" s="627"/>
      <c r="AJ604" s="627"/>
      <c r="AK604" s="627"/>
      <c r="AL604" s="627"/>
    </row>
    <row r="605" spans="1:38" ht="11.1" customHeight="1" x14ac:dyDescent="0.25">
      <c r="A605" s="630" t="s">
        <v>3927</v>
      </c>
      <c r="B605" s="630"/>
      <c r="C605" s="630"/>
      <c r="M605" s="630" t="s">
        <v>2263</v>
      </c>
      <c r="N605" s="630"/>
      <c r="O605" s="630"/>
      <c r="P605" s="630"/>
      <c r="Q605" s="627">
        <v>0</v>
      </c>
      <c r="R605" s="627"/>
      <c r="T605" s="631">
        <v>462672</v>
      </c>
      <c r="U605" s="631"/>
      <c r="V605" s="631"/>
      <c r="Y605" s="631">
        <v>462672</v>
      </c>
      <c r="Z605" s="631"/>
      <c r="AA605" s="631"/>
      <c r="AB605" s="631"/>
      <c r="AC605" s="631"/>
      <c r="AD605" s="631"/>
      <c r="AF605" s="627">
        <v>0</v>
      </c>
      <c r="AG605" s="627"/>
      <c r="AH605" s="627"/>
      <c r="AI605" s="627"/>
      <c r="AJ605" s="627"/>
      <c r="AK605" s="627"/>
      <c r="AL605" s="627"/>
    </row>
    <row r="606" spans="1:38" ht="11.1" customHeight="1" x14ac:dyDescent="0.25">
      <c r="A606" s="632" t="s">
        <v>3928</v>
      </c>
      <c r="B606" s="632"/>
      <c r="C606" s="632"/>
      <c r="H606" s="632" t="s">
        <v>955</v>
      </c>
      <c r="I606" s="632"/>
      <c r="J606" s="632"/>
      <c r="K606" s="632"/>
      <c r="L606" s="632"/>
      <c r="M606" s="632"/>
      <c r="N606" s="632"/>
      <c r="O606" s="632"/>
      <c r="P606" s="632"/>
      <c r="Q606" s="633">
        <v>-1188062.8799999999</v>
      </c>
      <c r="R606" s="633"/>
      <c r="T606" s="634">
        <v>1435926.42</v>
      </c>
      <c r="U606" s="634"/>
      <c r="V606" s="634"/>
      <c r="Y606" s="634">
        <v>1115631.03</v>
      </c>
      <c r="Z606" s="634"/>
      <c r="AA606" s="634"/>
      <c r="AB606" s="634"/>
      <c r="AC606" s="634"/>
      <c r="AD606" s="634"/>
      <c r="AF606" s="633">
        <v>-867767.49</v>
      </c>
      <c r="AG606" s="633"/>
      <c r="AH606" s="633"/>
      <c r="AI606" s="633"/>
      <c r="AJ606" s="633"/>
      <c r="AK606" s="633"/>
      <c r="AL606" s="633"/>
    </row>
    <row r="607" spans="1:38" ht="11.1" customHeight="1" x14ac:dyDescent="0.25">
      <c r="A607" s="632" t="s">
        <v>3929</v>
      </c>
      <c r="B607" s="632"/>
      <c r="C607" s="632"/>
      <c r="I607" s="632" t="s">
        <v>957</v>
      </c>
      <c r="J607" s="632"/>
      <c r="K607" s="632"/>
      <c r="L607" s="632"/>
      <c r="M607" s="632"/>
      <c r="N607" s="632"/>
      <c r="O607" s="632"/>
      <c r="P607" s="632"/>
      <c r="Q607" s="633">
        <v>-1188062.8799999999</v>
      </c>
      <c r="R607" s="633"/>
      <c r="T607" s="634">
        <v>1435926.42</v>
      </c>
      <c r="U607" s="634"/>
      <c r="V607" s="634"/>
      <c r="Y607" s="634">
        <v>1115631.03</v>
      </c>
      <c r="Z607" s="634"/>
      <c r="AA607" s="634"/>
      <c r="AB607" s="634"/>
      <c r="AC607" s="634"/>
      <c r="AD607" s="634"/>
      <c r="AF607" s="633">
        <v>-867767.49</v>
      </c>
      <c r="AG607" s="633"/>
      <c r="AH607" s="633"/>
      <c r="AI607" s="633"/>
      <c r="AJ607" s="633"/>
      <c r="AK607" s="633"/>
      <c r="AL607" s="633"/>
    </row>
    <row r="608" spans="1:38" ht="11.1" customHeight="1" x14ac:dyDescent="0.25">
      <c r="A608" s="632" t="s">
        <v>3930</v>
      </c>
      <c r="B608" s="632"/>
      <c r="C608" s="632"/>
      <c r="J608" s="632" t="s">
        <v>959</v>
      </c>
      <c r="K608" s="632"/>
      <c r="L608" s="632"/>
      <c r="M608" s="632"/>
      <c r="N608" s="632"/>
      <c r="O608" s="632"/>
      <c r="P608" s="632"/>
      <c r="Q608" s="633">
        <v>-899057.2</v>
      </c>
      <c r="R608" s="633"/>
      <c r="T608" s="634">
        <v>781200.96</v>
      </c>
      <c r="U608" s="634"/>
      <c r="V608" s="634"/>
      <c r="Y608" s="634">
        <v>437159.19</v>
      </c>
      <c r="Z608" s="634"/>
      <c r="AA608" s="634"/>
      <c r="AB608" s="634"/>
      <c r="AC608" s="634"/>
      <c r="AD608" s="634"/>
      <c r="AF608" s="633">
        <v>-555015.43000000005</v>
      </c>
      <c r="AG608" s="633"/>
      <c r="AH608" s="633"/>
      <c r="AI608" s="633"/>
      <c r="AJ608" s="633"/>
      <c r="AK608" s="633"/>
      <c r="AL608" s="633"/>
    </row>
    <row r="609" spans="1:38" ht="11.1" customHeight="1" x14ac:dyDescent="0.25">
      <c r="A609" s="630" t="s">
        <v>3931</v>
      </c>
      <c r="B609" s="630"/>
      <c r="C609" s="630"/>
      <c r="K609" s="630" t="s">
        <v>959</v>
      </c>
      <c r="L609" s="630"/>
      <c r="M609" s="630"/>
      <c r="N609" s="630"/>
      <c r="O609" s="630"/>
      <c r="P609" s="630"/>
      <c r="Q609" s="627">
        <v>-899057.2</v>
      </c>
      <c r="R609" s="627"/>
      <c r="T609" s="631">
        <v>781200.96</v>
      </c>
      <c r="U609" s="631"/>
      <c r="V609" s="631"/>
      <c r="Y609" s="631">
        <v>437159.19</v>
      </c>
      <c r="Z609" s="631"/>
      <c r="AA609" s="631"/>
      <c r="AB609" s="631"/>
      <c r="AC609" s="631"/>
      <c r="AD609" s="631"/>
      <c r="AF609" s="627">
        <v>-555015.43000000005</v>
      </c>
      <c r="AG609" s="627"/>
      <c r="AH609" s="627"/>
      <c r="AI609" s="627"/>
      <c r="AJ609" s="627"/>
      <c r="AK609" s="627"/>
      <c r="AL609" s="627"/>
    </row>
    <row r="610" spans="1:38" ht="11.1" customHeight="1" x14ac:dyDescent="0.25">
      <c r="A610" s="630" t="s">
        <v>3932</v>
      </c>
      <c r="B610" s="630"/>
      <c r="C610" s="630"/>
      <c r="L610" s="630" t="s">
        <v>959</v>
      </c>
      <c r="M610" s="630"/>
      <c r="N610" s="630"/>
      <c r="O610" s="630"/>
      <c r="P610" s="630"/>
      <c r="Q610" s="627">
        <v>-898749.91</v>
      </c>
      <c r="R610" s="627"/>
      <c r="T610" s="631">
        <v>780893.67</v>
      </c>
      <c r="U610" s="631"/>
      <c r="V610" s="631"/>
      <c r="Y610" s="631">
        <v>437159.19</v>
      </c>
      <c r="Z610" s="631"/>
      <c r="AA610" s="631"/>
      <c r="AB610" s="631"/>
      <c r="AC610" s="631"/>
      <c r="AD610" s="631"/>
      <c r="AF610" s="627">
        <v>-555015.43000000005</v>
      </c>
      <c r="AG610" s="627"/>
      <c r="AH610" s="627"/>
      <c r="AI610" s="627"/>
      <c r="AJ610" s="627"/>
      <c r="AK610" s="627"/>
      <c r="AL610" s="627"/>
    </row>
    <row r="611" spans="1:38" ht="11.1" customHeight="1" x14ac:dyDescent="0.25">
      <c r="A611" s="630" t="s">
        <v>3933</v>
      </c>
      <c r="B611" s="630"/>
      <c r="C611" s="630"/>
      <c r="M611" s="630" t="s">
        <v>963</v>
      </c>
      <c r="N611" s="630"/>
      <c r="O611" s="630"/>
      <c r="P611" s="630"/>
      <c r="Q611" s="627">
        <v>0</v>
      </c>
      <c r="R611" s="627"/>
      <c r="T611" s="631">
        <v>236232.61</v>
      </c>
      <c r="U611" s="631"/>
      <c r="V611" s="631"/>
      <c r="Y611" s="631">
        <v>236232.61</v>
      </c>
      <c r="Z611" s="631"/>
      <c r="AA611" s="631"/>
      <c r="AB611" s="631"/>
      <c r="AC611" s="631"/>
      <c r="AD611" s="631"/>
      <c r="AF611" s="627">
        <v>0</v>
      </c>
      <c r="AG611" s="627"/>
      <c r="AH611" s="627"/>
      <c r="AI611" s="627"/>
      <c r="AJ611" s="627"/>
      <c r="AK611" s="627"/>
      <c r="AL611" s="627"/>
    </row>
    <row r="612" spans="1:38" ht="11.1" customHeight="1" x14ac:dyDescent="0.25">
      <c r="A612" s="630" t="s">
        <v>3934</v>
      </c>
      <c r="B612" s="630"/>
      <c r="C612" s="630"/>
      <c r="M612" s="630" t="s">
        <v>2279</v>
      </c>
      <c r="N612" s="630"/>
      <c r="O612" s="630"/>
      <c r="P612" s="630"/>
      <c r="Q612" s="627">
        <v>0</v>
      </c>
      <c r="R612" s="627"/>
      <c r="T612" s="631">
        <v>106099.03</v>
      </c>
      <c r="U612" s="631"/>
      <c r="V612" s="631"/>
      <c r="Y612" s="631">
        <v>106099.03</v>
      </c>
      <c r="Z612" s="631"/>
      <c r="AA612" s="631"/>
      <c r="AB612" s="631"/>
      <c r="AC612" s="631"/>
      <c r="AD612" s="631"/>
      <c r="AF612" s="627">
        <v>0</v>
      </c>
      <c r="AG612" s="627"/>
      <c r="AH612" s="627"/>
      <c r="AI612" s="627"/>
      <c r="AJ612" s="627"/>
      <c r="AK612" s="627"/>
      <c r="AL612" s="627"/>
    </row>
    <row r="613" spans="1:38" ht="11.1" customHeight="1" x14ac:dyDescent="0.25">
      <c r="A613" s="630" t="s">
        <v>3935</v>
      </c>
      <c r="B613" s="630"/>
      <c r="C613" s="630"/>
      <c r="M613" s="630" t="s">
        <v>966</v>
      </c>
      <c r="N613" s="630"/>
      <c r="O613" s="630"/>
      <c r="P613" s="630"/>
      <c r="Q613" s="627">
        <v>-424183.34</v>
      </c>
      <c r="R613" s="627"/>
      <c r="T613" s="631">
        <v>43934.43</v>
      </c>
      <c r="U613" s="631"/>
      <c r="V613" s="631"/>
      <c r="Y613" s="631">
        <v>30077.32</v>
      </c>
      <c r="Z613" s="631"/>
      <c r="AA613" s="631"/>
      <c r="AB613" s="631"/>
      <c r="AC613" s="631"/>
      <c r="AD613" s="631"/>
      <c r="AF613" s="627">
        <v>-410326.23</v>
      </c>
      <c r="AG613" s="627"/>
      <c r="AH613" s="627"/>
      <c r="AI613" s="627"/>
      <c r="AJ613" s="627"/>
      <c r="AK613" s="627"/>
      <c r="AL613" s="627"/>
    </row>
    <row r="614" spans="1:38" ht="11.1" customHeight="1" x14ac:dyDescent="0.25">
      <c r="A614" s="630" t="s">
        <v>3936</v>
      </c>
      <c r="B614" s="630"/>
      <c r="C614" s="630"/>
      <c r="M614" s="630" t="s">
        <v>968</v>
      </c>
      <c r="N614" s="630"/>
      <c r="O614" s="630"/>
      <c r="P614" s="630"/>
      <c r="Q614" s="627">
        <v>-114054.02</v>
      </c>
      <c r="R614" s="627"/>
      <c r="T614" s="631">
        <v>9593.4</v>
      </c>
      <c r="U614" s="631"/>
      <c r="V614" s="631"/>
      <c r="Y614" s="631">
        <v>7490.4</v>
      </c>
      <c r="Z614" s="631"/>
      <c r="AA614" s="631"/>
      <c r="AB614" s="631"/>
      <c r="AC614" s="631"/>
      <c r="AD614" s="631"/>
      <c r="AF614" s="627">
        <v>-111951.02</v>
      </c>
      <c r="AG614" s="627"/>
      <c r="AH614" s="627"/>
      <c r="AI614" s="627"/>
      <c r="AJ614" s="627"/>
      <c r="AK614" s="627"/>
      <c r="AL614" s="627"/>
    </row>
    <row r="615" spans="1:38" ht="11.1" customHeight="1" x14ac:dyDescent="0.25">
      <c r="A615" s="630" t="s">
        <v>3937</v>
      </c>
      <c r="B615" s="630"/>
      <c r="C615" s="630"/>
      <c r="M615" s="630" t="s">
        <v>970</v>
      </c>
      <c r="N615" s="630"/>
      <c r="O615" s="630"/>
      <c r="P615" s="630"/>
      <c r="Q615" s="627">
        <v>-33352.5</v>
      </c>
      <c r="R615" s="627"/>
      <c r="T615" s="631">
        <v>2809.25</v>
      </c>
      <c r="U615" s="631"/>
      <c r="V615" s="631"/>
      <c r="Y615" s="631">
        <v>2194.9299999999998</v>
      </c>
      <c r="Z615" s="631"/>
      <c r="AA615" s="631"/>
      <c r="AB615" s="631"/>
      <c r="AC615" s="631"/>
      <c r="AD615" s="631"/>
      <c r="AF615" s="627">
        <v>-32738.18</v>
      </c>
      <c r="AG615" s="627"/>
      <c r="AH615" s="627"/>
      <c r="AI615" s="627"/>
      <c r="AJ615" s="627"/>
      <c r="AK615" s="627"/>
      <c r="AL615" s="627"/>
    </row>
    <row r="616" spans="1:38" ht="11.1" customHeight="1" x14ac:dyDescent="0.25">
      <c r="A616" s="630" t="s">
        <v>3938</v>
      </c>
      <c r="B616" s="630"/>
      <c r="C616" s="630"/>
      <c r="M616" s="630" t="s">
        <v>2908</v>
      </c>
      <c r="N616" s="630"/>
      <c r="O616" s="630"/>
      <c r="P616" s="630"/>
      <c r="Q616" s="627">
        <v>0</v>
      </c>
      <c r="R616" s="627"/>
      <c r="T616" s="631">
        <v>923.08</v>
      </c>
      <c r="U616" s="631"/>
      <c r="V616" s="631"/>
      <c r="Y616" s="631">
        <v>923.08</v>
      </c>
      <c r="Z616" s="631"/>
      <c r="AA616" s="631"/>
      <c r="AB616" s="631"/>
      <c r="AC616" s="631"/>
      <c r="AD616" s="631"/>
      <c r="AF616" s="627">
        <v>0</v>
      </c>
      <c r="AG616" s="627"/>
      <c r="AH616" s="627"/>
      <c r="AI616" s="627"/>
      <c r="AJ616" s="627"/>
      <c r="AK616" s="627"/>
      <c r="AL616" s="627"/>
    </row>
    <row r="617" spans="1:38" ht="11.1" customHeight="1" x14ac:dyDescent="0.25">
      <c r="A617" s="630" t="s">
        <v>3939</v>
      </c>
      <c r="B617" s="630"/>
      <c r="C617" s="630"/>
      <c r="M617" s="630" t="s">
        <v>972</v>
      </c>
      <c r="N617" s="630"/>
      <c r="O617" s="630"/>
      <c r="P617" s="630"/>
      <c r="Q617" s="627">
        <v>0</v>
      </c>
      <c r="R617" s="627"/>
      <c r="T617" s="631">
        <v>2000</v>
      </c>
      <c r="U617" s="631"/>
      <c r="V617" s="631"/>
      <c r="Y617" s="631">
        <v>2000</v>
      </c>
      <c r="Z617" s="631"/>
      <c r="AA617" s="631"/>
      <c r="AB617" s="631"/>
      <c r="AC617" s="631"/>
      <c r="AD617" s="631"/>
      <c r="AF617" s="627">
        <v>0</v>
      </c>
      <c r="AG617" s="627"/>
      <c r="AH617" s="627"/>
      <c r="AI617" s="627"/>
      <c r="AJ617" s="627"/>
      <c r="AK617" s="627"/>
      <c r="AL617" s="627"/>
    </row>
    <row r="618" spans="1:38" ht="11.1" customHeight="1" x14ac:dyDescent="0.25">
      <c r="A618" s="630" t="s">
        <v>3940</v>
      </c>
      <c r="B618" s="630"/>
      <c r="C618" s="630"/>
      <c r="M618" s="630" t="s">
        <v>974</v>
      </c>
      <c r="N618" s="630"/>
      <c r="O618" s="630"/>
      <c r="P618" s="630"/>
      <c r="Q618" s="627">
        <v>-249604.93</v>
      </c>
      <c r="R618" s="627"/>
      <c r="T618" s="631">
        <v>288147.92</v>
      </c>
      <c r="U618" s="631"/>
      <c r="V618" s="631"/>
      <c r="Y618" s="631">
        <v>38542.99</v>
      </c>
      <c r="Z618" s="631"/>
      <c r="AA618" s="631"/>
      <c r="AB618" s="631"/>
      <c r="AC618" s="631"/>
      <c r="AD618" s="631"/>
      <c r="AF618" s="627">
        <v>0</v>
      </c>
      <c r="AG618" s="627"/>
      <c r="AH618" s="627"/>
      <c r="AI618" s="627"/>
      <c r="AJ618" s="627"/>
      <c r="AK618" s="627"/>
      <c r="AL618" s="627"/>
    </row>
    <row r="619" spans="1:38" ht="11.1" customHeight="1" x14ac:dyDescent="0.25">
      <c r="A619" s="630" t="s">
        <v>3941</v>
      </c>
      <c r="B619" s="630"/>
      <c r="C619" s="630"/>
      <c r="M619" s="630" t="s">
        <v>976</v>
      </c>
      <c r="N619" s="630"/>
      <c r="O619" s="630"/>
      <c r="P619" s="630"/>
      <c r="Q619" s="627">
        <v>-68142.14</v>
      </c>
      <c r="R619" s="627"/>
      <c r="T619" s="631">
        <v>78664.33</v>
      </c>
      <c r="U619" s="631"/>
      <c r="V619" s="631"/>
      <c r="Y619" s="631">
        <v>10522.19</v>
      </c>
      <c r="Z619" s="631"/>
      <c r="AA619" s="631"/>
      <c r="AB619" s="631"/>
      <c r="AC619" s="631"/>
      <c r="AD619" s="631"/>
      <c r="AF619" s="627">
        <v>0</v>
      </c>
      <c r="AG619" s="627"/>
      <c r="AH619" s="627"/>
      <c r="AI619" s="627"/>
      <c r="AJ619" s="627"/>
      <c r="AK619" s="627"/>
      <c r="AL619" s="627"/>
    </row>
    <row r="620" spans="1:38" ht="11.1" customHeight="1" x14ac:dyDescent="0.25">
      <c r="A620" s="630" t="s">
        <v>3942</v>
      </c>
      <c r="B620" s="630"/>
      <c r="C620" s="630"/>
      <c r="M620" s="630" t="s">
        <v>978</v>
      </c>
      <c r="N620" s="630"/>
      <c r="O620" s="630"/>
      <c r="P620" s="630"/>
      <c r="Q620" s="627">
        <v>-9412.98</v>
      </c>
      <c r="R620" s="627"/>
      <c r="T620" s="631">
        <v>12489.62</v>
      </c>
      <c r="U620" s="631"/>
      <c r="V620" s="631"/>
      <c r="Y620" s="631">
        <v>3076.64</v>
      </c>
      <c r="Z620" s="631"/>
      <c r="AA620" s="631"/>
      <c r="AB620" s="631"/>
      <c r="AC620" s="631"/>
      <c r="AD620" s="631"/>
      <c r="AF620" s="627">
        <v>0</v>
      </c>
      <c r="AG620" s="627"/>
      <c r="AH620" s="627"/>
      <c r="AI620" s="627"/>
      <c r="AJ620" s="627"/>
      <c r="AK620" s="627"/>
      <c r="AL620" s="627"/>
    </row>
    <row r="621" spans="1:38" ht="11.1" customHeight="1" x14ac:dyDescent="0.25">
      <c r="A621" s="630" t="s">
        <v>3943</v>
      </c>
      <c r="B621" s="630"/>
      <c r="C621" s="630"/>
      <c r="L621" s="630" t="s">
        <v>302</v>
      </c>
      <c r="M621" s="630"/>
      <c r="N621" s="630"/>
      <c r="O621" s="630"/>
      <c r="P621" s="630"/>
      <c r="Q621" s="627">
        <v>-307.29000000000002</v>
      </c>
      <c r="R621" s="627"/>
      <c r="T621" s="631">
        <v>307.29000000000002</v>
      </c>
      <c r="U621" s="631"/>
      <c r="V621" s="631"/>
      <c r="Y621" s="631">
        <v>0</v>
      </c>
      <c r="Z621" s="631"/>
      <c r="AA621" s="631"/>
      <c r="AB621" s="631"/>
      <c r="AC621" s="631"/>
      <c r="AD621" s="631"/>
      <c r="AF621" s="627">
        <v>0</v>
      </c>
      <c r="AG621" s="627"/>
      <c r="AH621" s="627"/>
      <c r="AI621" s="627"/>
      <c r="AJ621" s="627"/>
      <c r="AK621" s="627"/>
      <c r="AL621" s="627"/>
    </row>
    <row r="622" spans="1:38" ht="11.1" customHeight="1" x14ac:dyDescent="0.25">
      <c r="A622" s="630" t="s">
        <v>3944</v>
      </c>
      <c r="B622" s="630"/>
      <c r="C622" s="630"/>
      <c r="M622" s="630" t="s">
        <v>957</v>
      </c>
      <c r="N622" s="630"/>
      <c r="O622" s="630"/>
      <c r="P622" s="630"/>
      <c r="Q622" s="627">
        <v>-307.29000000000002</v>
      </c>
      <c r="R622" s="627"/>
      <c r="T622" s="631">
        <v>307.29000000000002</v>
      </c>
      <c r="U622" s="631"/>
      <c r="V622" s="631"/>
      <c r="Y622" s="631">
        <v>0</v>
      </c>
      <c r="Z622" s="631"/>
      <c r="AA622" s="631"/>
      <c r="AB622" s="631"/>
      <c r="AC622" s="631"/>
      <c r="AD622" s="631"/>
      <c r="AF622" s="627">
        <v>0</v>
      </c>
      <c r="AG622" s="627"/>
      <c r="AH622" s="627"/>
      <c r="AI622" s="627"/>
      <c r="AJ622" s="627"/>
      <c r="AK622" s="627"/>
      <c r="AL622" s="627"/>
    </row>
    <row r="623" spans="1:38" ht="11.1" customHeight="1" x14ac:dyDescent="0.25">
      <c r="A623" s="632" t="s">
        <v>3945</v>
      </c>
      <c r="B623" s="632"/>
      <c r="C623" s="632"/>
      <c r="J623" s="632" t="s">
        <v>980</v>
      </c>
      <c r="K623" s="632"/>
      <c r="L623" s="632"/>
      <c r="M623" s="632"/>
      <c r="N623" s="632"/>
      <c r="O623" s="632"/>
      <c r="P623" s="632"/>
      <c r="Q623" s="633">
        <v>0</v>
      </c>
      <c r="R623" s="633"/>
      <c r="T623" s="634">
        <v>312526.34999999998</v>
      </c>
      <c r="U623" s="634"/>
      <c r="V623" s="634"/>
      <c r="Y623" s="634">
        <v>312526.34999999998</v>
      </c>
      <c r="Z623" s="634"/>
      <c r="AA623" s="634"/>
      <c r="AB623" s="634"/>
      <c r="AC623" s="634"/>
      <c r="AD623" s="634"/>
      <c r="AF623" s="633">
        <v>0</v>
      </c>
      <c r="AG623" s="633"/>
      <c r="AH623" s="633"/>
      <c r="AI623" s="633"/>
      <c r="AJ623" s="633"/>
      <c r="AK623" s="633"/>
      <c r="AL623" s="633"/>
    </row>
    <row r="624" spans="1:38" ht="11.1" customHeight="1" x14ac:dyDescent="0.25">
      <c r="A624" s="630" t="s">
        <v>3946</v>
      </c>
      <c r="B624" s="630"/>
      <c r="C624" s="630"/>
      <c r="K624" s="630" t="s">
        <v>980</v>
      </c>
      <c r="L624" s="630"/>
      <c r="M624" s="630"/>
      <c r="N624" s="630"/>
      <c r="O624" s="630"/>
      <c r="P624" s="630"/>
      <c r="Q624" s="627">
        <v>0</v>
      </c>
      <c r="R624" s="627"/>
      <c r="T624" s="631">
        <v>312526.34999999998</v>
      </c>
      <c r="U624" s="631"/>
      <c r="V624" s="631"/>
      <c r="Y624" s="631">
        <v>312526.34999999998</v>
      </c>
      <c r="Z624" s="631"/>
      <c r="AA624" s="631"/>
      <c r="AB624" s="631"/>
      <c r="AC624" s="631"/>
      <c r="AD624" s="631"/>
      <c r="AF624" s="627">
        <v>0</v>
      </c>
      <c r="AG624" s="627"/>
      <c r="AH624" s="627"/>
      <c r="AI624" s="627"/>
      <c r="AJ624" s="627"/>
      <c r="AK624" s="627"/>
      <c r="AL624" s="627"/>
    </row>
    <row r="625" spans="1:38" ht="11.1" customHeight="1" x14ac:dyDescent="0.25">
      <c r="A625" s="630" t="s">
        <v>3947</v>
      </c>
      <c r="B625" s="630"/>
      <c r="C625" s="630"/>
      <c r="L625" s="630" t="s">
        <v>980</v>
      </c>
      <c r="M625" s="630"/>
      <c r="N625" s="630"/>
      <c r="O625" s="630"/>
      <c r="P625" s="630"/>
      <c r="Q625" s="627">
        <v>0</v>
      </c>
      <c r="R625" s="627"/>
      <c r="T625" s="631">
        <v>312526.34999999998</v>
      </c>
      <c r="U625" s="631"/>
      <c r="V625" s="631"/>
      <c r="Y625" s="631">
        <v>312526.34999999998</v>
      </c>
      <c r="Z625" s="631"/>
      <c r="AA625" s="631"/>
      <c r="AB625" s="631"/>
      <c r="AC625" s="631"/>
      <c r="AD625" s="631"/>
      <c r="AF625" s="627">
        <v>0</v>
      </c>
      <c r="AG625" s="627"/>
      <c r="AH625" s="627"/>
      <c r="AI625" s="627"/>
      <c r="AJ625" s="627"/>
      <c r="AK625" s="627"/>
      <c r="AL625" s="627"/>
    </row>
    <row r="626" spans="1:38" ht="11.1" customHeight="1" x14ac:dyDescent="0.25">
      <c r="A626" s="630" t="s">
        <v>3948</v>
      </c>
      <c r="B626" s="630"/>
      <c r="C626" s="630"/>
      <c r="M626" s="630" t="s">
        <v>984</v>
      </c>
      <c r="N626" s="630"/>
      <c r="O626" s="630"/>
      <c r="P626" s="630"/>
      <c r="Q626" s="627">
        <v>0</v>
      </c>
      <c r="R626" s="627"/>
      <c r="T626" s="631">
        <v>239554.32</v>
      </c>
      <c r="U626" s="631"/>
      <c r="V626" s="631"/>
      <c r="Y626" s="631">
        <v>239554.32</v>
      </c>
      <c r="Z626" s="631"/>
      <c r="AA626" s="631"/>
      <c r="AB626" s="631"/>
      <c r="AC626" s="631"/>
      <c r="AD626" s="631"/>
      <c r="AF626" s="627">
        <v>0</v>
      </c>
      <c r="AG626" s="627"/>
      <c r="AH626" s="627"/>
      <c r="AI626" s="627"/>
      <c r="AJ626" s="627"/>
      <c r="AK626" s="627"/>
      <c r="AL626" s="627"/>
    </row>
    <row r="627" spans="1:38" ht="11.1" customHeight="1" x14ac:dyDescent="0.25">
      <c r="A627" s="630" t="s">
        <v>3949</v>
      </c>
      <c r="B627" s="630"/>
      <c r="C627" s="630"/>
      <c r="M627" s="630" t="s">
        <v>2234</v>
      </c>
      <c r="N627" s="630"/>
      <c r="O627" s="630"/>
      <c r="P627" s="630"/>
      <c r="Q627" s="627">
        <v>0</v>
      </c>
      <c r="R627" s="627"/>
      <c r="T627" s="631">
        <v>72972.03</v>
      </c>
      <c r="U627" s="631"/>
      <c r="V627" s="631"/>
      <c r="Y627" s="631">
        <v>72972.03</v>
      </c>
      <c r="Z627" s="631"/>
      <c r="AA627" s="631"/>
      <c r="AB627" s="631"/>
      <c r="AC627" s="631"/>
      <c r="AD627" s="631"/>
      <c r="AF627" s="627">
        <v>0</v>
      </c>
      <c r="AG627" s="627"/>
      <c r="AH627" s="627"/>
      <c r="AI627" s="627"/>
      <c r="AJ627" s="627"/>
      <c r="AK627" s="627"/>
      <c r="AL627" s="627"/>
    </row>
    <row r="628" spans="1:38" ht="11.1" customHeight="1" x14ac:dyDescent="0.25">
      <c r="A628" s="632" t="s">
        <v>3950</v>
      </c>
      <c r="B628" s="632"/>
      <c r="C628" s="632"/>
      <c r="J628" s="632" t="s">
        <v>986</v>
      </c>
      <c r="K628" s="632"/>
      <c r="L628" s="632"/>
      <c r="M628" s="632"/>
      <c r="N628" s="632"/>
      <c r="O628" s="632"/>
      <c r="P628" s="632"/>
      <c r="Q628" s="633">
        <v>0</v>
      </c>
      <c r="R628" s="633"/>
      <c r="T628" s="634">
        <v>102410.4</v>
      </c>
      <c r="U628" s="634"/>
      <c r="V628" s="634"/>
      <c r="Y628" s="634">
        <v>102410.4</v>
      </c>
      <c r="Z628" s="634"/>
      <c r="AA628" s="634"/>
      <c r="AB628" s="634"/>
      <c r="AC628" s="634"/>
      <c r="AD628" s="634"/>
      <c r="AF628" s="633">
        <v>0</v>
      </c>
      <c r="AG628" s="633"/>
      <c r="AH628" s="633"/>
      <c r="AI628" s="633"/>
      <c r="AJ628" s="633"/>
      <c r="AK628" s="633"/>
      <c r="AL628" s="633"/>
    </row>
    <row r="629" spans="1:38" ht="11.1" customHeight="1" x14ac:dyDescent="0.25">
      <c r="A629" s="630" t="s">
        <v>3951</v>
      </c>
      <c r="B629" s="630"/>
      <c r="C629" s="630"/>
      <c r="K629" s="630" t="s">
        <v>986</v>
      </c>
      <c r="L629" s="630"/>
      <c r="M629" s="630"/>
      <c r="N629" s="630"/>
      <c r="O629" s="630"/>
      <c r="P629" s="630"/>
      <c r="Q629" s="627">
        <v>0</v>
      </c>
      <c r="R629" s="627"/>
      <c r="T629" s="631">
        <v>102410.4</v>
      </c>
      <c r="U629" s="631"/>
      <c r="V629" s="631"/>
      <c r="Y629" s="631">
        <v>102410.4</v>
      </c>
      <c r="Z629" s="631"/>
      <c r="AA629" s="631"/>
      <c r="AB629" s="631"/>
      <c r="AC629" s="631"/>
      <c r="AD629" s="631"/>
      <c r="AF629" s="627">
        <v>0</v>
      </c>
      <c r="AG629" s="627"/>
      <c r="AH629" s="627"/>
      <c r="AI629" s="627"/>
      <c r="AJ629" s="627"/>
      <c r="AK629" s="627"/>
      <c r="AL629" s="627"/>
    </row>
    <row r="630" spans="1:38" ht="11.1" customHeight="1" x14ac:dyDescent="0.25">
      <c r="A630" s="630" t="s">
        <v>3952</v>
      </c>
      <c r="B630" s="630"/>
      <c r="C630" s="630"/>
      <c r="L630" s="630" t="s">
        <v>986</v>
      </c>
      <c r="M630" s="630"/>
      <c r="N630" s="630"/>
      <c r="O630" s="630"/>
      <c r="P630" s="630"/>
      <c r="Q630" s="627">
        <v>0</v>
      </c>
      <c r="R630" s="627"/>
      <c r="T630" s="631">
        <v>102410.4</v>
      </c>
      <c r="U630" s="631"/>
      <c r="V630" s="631"/>
      <c r="Y630" s="631">
        <v>102410.4</v>
      </c>
      <c r="Z630" s="631"/>
      <c r="AA630" s="631"/>
      <c r="AB630" s="631"/>
      <c r="AC630" s="631"/>
      <c r="AD630" s="631"/>
      <c r="AF630" s="627">
        <v>0</v>
      </c>
      <c r="AG630" s="627"/>
      <c r="AH630" s="627"/>
      <c r="AI630" s="627"/>
      <c r="AJ630" s="627"/>
      <c r="AK630" s="627"/>
      <c r="AL630" s="627"/>
    </row>
    <row r="631" spans="1:38" ht="11.1" customHeight="1" x14ac:dyDescent="0.25">
      <c r="A631" s="630" t="s">
        <v>3953</v>
      </c>
      <c r="B631" s="630"/>
      <c r="C631" s="630"/>
      <c r="M631" s="630" t="s">
        <v>507</v>
      </c>
      <c r="N631" s="630"/>
      <c r="O631" s="630"/>
      <c r="P631" s="630"/>
      <c r="Q631" s="627">
        <v>0</v>
      </c>
      <c r="R631" s="627"/>
      <c r="T631" s="631">
        <v>102410.4</v>
      </c>
      <c r="U631" s="631"/>
      <c r="V631" s="631"/>
      <c r="Y631" s="631">
        <v>102410.4</v>
      </c>
      <c r="Z631" s="631"/>
      <c r="AA631" s="631"/>
      <c r="AB631" s="631"/>
      <c r="AC631" s="631"/>
      <c r="AD631" s="631"/>
      <c r="AF631" s="627">
        <v>0</v>
      </c>
      <c r="AG631" s="627"/>
      <c r="AH631" s="627"/>
      <c r="AI631" s="627"/>
      <c r="AJ631" s="627"/>
      <c r="AK631" s="627"/>
      <c r="AL631" s="627"/>
    </row>
    <row r="632" spans="1:38" ht="11.1" customHeight="1" x14ac:dyDescent="0.25">
      <c r="A632" s="632" t="s">
        <v>3954</v>
      </c>
      <c r="B632" s="632"/>
      <c r="C632" s="632"/>
      <c r="J632" s="632" t="s">
        <v>991</v>
      </c>
      <c r="K632" s="632"/>
      <c r="L632" s="632"/>
      <c r="M632" s="632"/>
      <c r="N632" s="632"/>
      <c r="O632" s="632"/>
      <c r="P632" s="632"/>
      <c r="Q632" s="633">
        <v>-87242.38</v>
      </c>
      <c r="R632" s="633"/>
      <c r="T632" s="634">
        <v>83523.820000000007</v>
      </c>
      <c r="U632" s="634"/>
      <c r="V632" s="634"/>
      <c r="Y632" s="634">
        <v>135060.39000000001</v>
      </c>
      <c r="Z632" s="634"/>
      <c r="AA632" s="634"/>
      <c r="AB632" s="634"/>
      <c r="AC632" s="634"/>
      <c r="AD632" s="634"/>
      <c r="AF632" s="633">
        <v>-138778.95000000001</v>
      </c>
      <c r="AG632" s="633"/>
      <c r="AH632" s="633"/>
      <c r="AI632" s="633"/>
      <c r="AJ632" s="633"/>
      <c r="AK632" s="633"/>
      <c r="AL632" s="633"/>
    </row>
    <row r="633" spans="1:38" ht="11.1" customHeight="1" x14ac:dyDescent="0.25">
      <c r="A633" s="630" t="s">
        <v>3955</v>
      </c>
      <c r="B633" s="630"/>
      <c r="C633" s="630"/>
      <c r="K633" s="630" t="s">
        <v>991</v>
      </c>
      <c r="L633" s="630"/>
      <c r="M633" s="630"/>
      <c r="N633" s="630"/>
      <c r="O633" s="630"/>
      <c r="P633" s="630"/>
      <c r="Q633" s="627">
        <v>-87242.38</v>
      </c>
      <c r="R633" s="627"/>
      <c r="T633" s="631">
        <v>83523.820000000007</v>
      </c>
      <c r="U633" s="631"/>
      <c r="V633" s="631"/>
      <c r="Y633" s="631">
        <v>135060.39000000001</v>
      </c>
      <c r="Z633" s="631"/>
      <c r="AA633" s="631"/>
      <c r="AB633" s="631"/>
      <c r="AC633" s="631"/>
      <c r="AD633" s="631"/>
      <c r="AF633" s="627">
        <v>-138778.95000000001</v>
      </c>
      <c r="AG633" s="627"/>
      <c r="AH633" s="627"/>
      <c r="AI633" s="627"/>
      <c r="AJ633" s="627"/>
      <c r="AK633" s="627"/>
      <c r="AL633" s="627"/>
    </row>
    <row r="634" spans="1:38" ht="11.1" customHeight="1" x14ac:dyDescent="0.25">
      <c r="A634" s="630" t="s">
        <v>3956</v>
      </c>
      <c r="B634" s="630"/>
      <c r="C634" s="630"/>
      <c r="L634" s="630" t="s">
        <v>991</v>
      </c>
      <c r="M634" s="630"/>
      <c r="N634" s="630"/>
      <c r="O634" s="630"/>
      <c r="P634" s="630"/>
      <c r="Q634" s="627">
        <v>-61498.87</v>
      </c>
      <c r="R634" s="627"/>
      <c r="T634" s="631">
        <v>83523.78</v>
      </c>
      <c r="U634" s="631"/>
      <c r="V634" s="631"/>
      <c r="Y634" s="631">
        <v>128397.06</v>
      </c>
      <c r="Z634" s="631"/>
      <c r="AA634" s="631"/>
      <c r="AB634" s="631"/>
      <c r="AC634" s="631"/>
      <c r="AD634" s="631"/>
      <c r="AF634" s="627">
        <v>-106372.15</v>
      </c>
      <c r="AG634" s="627"/>
      <c r="AH634" s="627"/>
      <c r="AI634" s="627"/>
      <c r="AJ634" s="627"/>
      <c r="AK634" s="627"/>
      <c r="AL634" s="627"/>
    </row>
    <row r="635" spans="1:38" ht="11.1" customHeight="1" x14ac:dyDescent="0.25">
      <c r="A635" s="630" t="s">
        <v>3957</v>
      </c>
      <c r="B635" s="630"/>
      <c r="C635" s="630"/>
      <c r="M635" s="630" t="s">
        <v>1090</v>
      </c>
      <c r="N635" s="630"/>
      <c r="O635" s="630"/>
      <c r="P635" s="630"/>
      <c r="Q635" s="627">
        <v>-21616.57</v>
      </c>
      <c r="R635" s="627"/>
      <c r="T635" s="631">
        <v>40846.699999999997</v>
      </c>
      <c r="U635" s="631"/>
      <c r="V635" s="631"/>
      <c r="Y635" s="631">
        <v>40865.94</v>
      </c>
      <c r="Z635" s="631"/>
      <c r="AA635" s="631"/>
      <c r="AB635" s="631"/>
      <c r="AC635" s="631"/>
      <c r="AD635" s="631"/>
      <c r="AF635" s="627">
        <v>-21635.81</v>
      </c>
      <c r="AG635" s="627"/>
      <c r="AH635" s="627"/>
      <c r="AI635" s="627"/>
      <c r="AJ635" s="627"/>
      <c r="AK635" s="627"/>
      <c r="AL635" s="627"/>
    </row>
    <row r="636" spans="1:38" ht="11.1" customHeight="1" x14ac:dyDescent="0.25">
      <c r="A636" s="630" t="s">
        <v>3958</v>
      </c>
      <c r="B636" s="630"/>
      <c r="C636" s="630"/>
      <c r="M636" s="630" t="s">
        <v>997</v>
      </c>
      <c r="N636" s="630"/>
      <c r="O636" s="630"/>
      <c r="P636" s="630"/>
      <c r="Q636" s="627">
        <v>-39882.300000000003</v>
      </c>
      <c r="R636" s="627"/>
      <c r="T636" s="631">
        <v>42677.08</v>
      </c>
      <c r="U636" s="631"/>
      <c r="V636" s="631"/>
      <c r="Y636" s="631">
        <v>87531.12</v>
      </c>
      <c r="Z636" s="631"/>
      <c r="AA636" s="631"/>
      <c r="AB636" s="631"/>
      <c r="AC636" s="631"/>
      <c r="AD636" s="631"/>
      <c r="AF636" s="627">
        <v>-84736.34</v>
      </c>
      <c r="AG636" s="627"/>
      <c r="AH636" s="627"/>
      <c r="AI636" s="627"/>
      <c r="AJ636" s="627"/>
      <c r="AK636" s="627"/>
      <c r="AL636" s="627"/>
    </row>
    <row r="637" spans="1:38" ht="11.1" customHeight="1" x14ac:dyDescent="0.25">
      <c r="A637" s="630" t="s">
        <v>3959</v>
      </c>
      <c r="B637" s="630"/>
      <c r="C637" s="630"/>
      <c r="L637" s="630" t="s">
        <v>302</v>
      </c>
      <c r="M637" s="630"/>
      <c r="N637" s="630"/>
      <c r="O637" s="630"/>
      <c r="P637" s="630"/>
      <c r="Q637" s="627">
        <v>-25743.51</v>
      </c>
      <c r="R637" s="627"/>
      <c r="T637" s="631">
        <v>0.04</v>
      </c>
      <c r="U637" s="631"/>
      <c r="V637" s="631"/>
      <c r="Y637" s="631">
        <v>6663.33</v>
      </c>
      <c r="Z637" s="631"/>
      <c r="AA637" s="631"/>
      <c r="AB637" s="631"/>
      <c r="AC637" s="631"/>
      <c r="AD637" s="631"/>
      <c r="AF637" s="627">
        <v>-32406.799999999999</v>
      </c>
      <c r="AG637" s="627"/>
      <c r="AH637" s="627"/>
      <c r="AI637" s="627"/>
      <c r="AJ637" s="627"/>
      <c r="AK637" s="627"/>
      <c r="AL637" s="627"/>
    </row>
    <row r="638" spans="1:38" ht="11.1" customHeight="1" x14ac:dyDescent="0.25">
      <c r="A638" s="630" t="s">
        <v>3960</v>
      </c>
      <c r="B638" s="630"/>
      <c r="C638" s="630"/>
      <c r="M638" s="630" t="s">
        <v>1000</v>
      </c>
      <c r="N638" s="630"/>
      <c r="O638" s="630"/>
      <c r="P638" s="630"/>
      <c r="Q638" s="627">
        <v>-6210.23</v>
      </c>
      <c r="R638" s="627"/>
      <c r="T638" s="631">
        <v>0.01</v>
      </c>
      <c r="U638" s="631"/>
      <c r="V638" s="631"/>
      <c r="Y638" s="631">
        <v>5451.72</v>
      </c>
      <c r="Z638" s="631"/>
      <c r="AA638" s="631"/>
      <c r="AB638" s="631"/>
      <c r="AC638" s="631"/>
      <c r="AD638" s="631"/>
      <c r="AF638" s="627">
        <v>-11661.94</v>
      </c>
      <c r="AG638" s="627"/>
      <c r="AH638" s="627"/>
      <c r="AI638" s="627"/>
      <c r="AJ638" s="627"/>
      <c r="AK638" s="627"/>
      <c r="AL638" s="627"/>
    </row>
    <row r="639" spans="1:38" ht="11.1" customHeight="1" x14ac:dyDescent="0.25">
      <c r="A639" s="630" t="s">
        <v>3961</v>
      </c>
      <c r="B639" s="630"/>
      <c r="C639" s="630"/>
      <c r="M639" s="630" t="s">
        <v>1002</v>
      </c>
      <c r="N639" s="630"/>
      <c r="O639" s="630"/>
      <c r="P639" s="630"/>
      <c r="Q639" s="627">
        <v>-15209.05</v>
      </c>
      <c r="R639" s="627"/>
      <c r="T639" s="631">
        <v>0.01</v>
      </c>
      <c r="U639" s="631"/>
      <c r="V639" s="631"/>
      <c r="Y639" s="631">
        <v>354.97</v>
      </c>
      <c r="Z639" s="631"/>
      <c r="AA639" s="631"/>
      <c r="AB639" s="631"/>
      <c r="AC639" s="631"/>
      <c r="AD639" s="631"/>
      <c r="AF639" s="627">
        <v>-15564.01</v>
      </c>
      <c r="AG639" s="627"/>
      <c r="AH639" s="627"/>
      <c r="AI639" s="627"/>
      <c r="AJ639" s="627"/>
      <c r="AK639" s="627"/>
      <c r="AL639" s="627"/>
    </row>
    <row r="640" spans="1:38" ht="11.1" customHeight="1" x14ac:dyDescent="0.25">
      <c r="A640" s="630" t="s">
        <v>3962</v>
      </c>
      <c r="B640" s="630"/>
      <c r="C640" s="630"/>
      <c r="M640" s="630" t="s">
        <v>1004</v>
      </c>
      <c r="N640" s="630"/>
      <c r="O640" s="630"/>
      <c r="P640" s="630"/>
      <c r="Q640" s="627">
        <v>-4324.2299999999996</v>
      </c>
      <c r="R640" s="627"/>
      <c r="T640" s="631">
        <v>0.02</v>
      </c>
      <c r="U640" s="631"/>
      <c r="V640" s="631"/>
      <c r="Y640" s="631">
        <v>856.64</v>
      </c>
      <c r="Z640" s="631"/>
      <c r="AA640" s="631"/>
      <c r="AB640" s="631"/>
      <c r="AC640" s="631"/>
      <c r="AD640" s="631"/>
      <c r="AF640" s="627">
        <v>-5180.8500000000004</v>
      </c>
      <c r="AG640" s="627"/>
      <c r="AH640" s="627"/>
      <c r="AI640" s="627"/>
      <c r="AJ640" s="627"/>
      <c r="AK640" s="627"/>
      <c r="AL640" s="627"/>
    </row>
    <row r="641" spans="1:38" ht="11.1" customHeight="1" x14ac:dyDescent="0.25">
      <c r="A641" s="632" t="s">
        <v>3963</v>
      </c>
      <c r="B641" s="632"/>
      <c r="C641" s="632"/>
      <c r="J641" s="632" t="s">
        <v>1006</v>
      </c>
      <c r="K641" s="632"/>
      <c r="L641" s="632"/>
      <c r="M641" s="632"/>
      <c r="N641" s="632"/>
      <c r="O641" s="632"/>
      <c r="P641" s="632"/>
      <c r="Q641" s="633">
        <v>-91488.84</v>
      </c>
      <c r="R641" s="633"/>
      <c r="T641" s="634">
        <v>119452.4</v>
      </c>
      <c r="U641" s="634"/>
      <c r="V641" s="634"/>
      <c r="Y641" s="634">
        <v>128474.68</v>
      </c>
      <c r="Z641" s="634"/>
      <c r="AA641" s="634"/>
      <c r="AB641" s="634"/>
      <c r="AC641" s="634"/>
      <c r="AD641" s="634"/>
      <c r="AF641" s="633">
        <v>-100511.12</v>
      </c>
      <c r="AG641" s="633"/>
      <c r="AH641" s="633"/>
      <c r="AI641" s="633"/>
      <c r="AJ641" s="633"/>
      <c r="AK641" s="633"/>
      <c r="AL641" s="633"/>
    </row>
    <row r="642" spans="1:38" ht="11.1" customHeight="1" x14ac:dyDescent="0.25">
      <c r="A642" s="630" t="s">
        <v>3964</v>
      </c>
      <c r="B642" s="630"/>
      <c r="C642" s="630"/>
      <c r="K642" s="630" t="s">
        <v>1006</v>
      </c>
      <c r="L642" s="630"/>
      <c r="M642" s="630"/>
      <c r="N642" s="630"/>
      <c r="O642" s="630"/>
      <c r="P642" s="630"/>
      <c r="Q642" s="627">
        <v>-91488.84</v>
      </c>
      <c r="R642" s="627"/>
      <c r="T642" s="631">
        <v>119452.4</v>
      </c>
      <c r="U642" s="631"/>
      <c r="V642" s="631"/>
      <c r="Y642" s="631">
        <v>128474.68</v>
      </c>
      <c r="Z642" s="631"/>
      <c r="AA642" s="631"/>
      <c r="AB642" s="631"/>
      <c r="AC642" s="631"/>
      <c r="AD642" s="631"/>
      <c r="AF642" s="627">
        <v>-100511.12</v>
      </c>
      <c r="AG642" s="627"/>
      <c r="AH642" s="627"/>
      <c r="AI642" s="627"/>
      <c r="AJ642" s="627"/>
      <c r="AK642" s="627"/>
      <c r="AL642" s="627"/>
    </row>
    <row r="643" spans="1:38" ht="11.1" customHeight="1" x14ac:dyDescent="0.25">
      <c r="A643" s="630" t="s">
        <v>3965</v>
      </c>
      <c r="B643" s="630"/>
      <c r="C643" s="630"/>
      <c r="L643" s="630" t="s">
        <v>1006</v>
      </c>
      <c r="M643" s="630"/>
      <c r="N643" s="630"/>
      <c r="O643" s="630"/>
      <c r="P643" s="630"/>
      <c r="Q643" s="627">
        <v>-91488.84</v>
      </c>
      <c r="R643" s="627"/>
      <c r="T643" s="631">
        <v>119452.4</v>
      </c>
      <c r="U643" s="631"/>
      <c r="V643" s="631"/>
      <c r="Y643" s="631">
        <v>128474.68</v>
      </c>
      <c r="Z643" s="631"/>
      <c r="AA643" s="631"/>
      <c r="AB643" s="631"/>
      <c r="AC643" s="631"/>
      <c r="AD643" s="631"/>
      <c r="AF643" s="627">
        <v>-100511.12</v>
      </c>
      <c r="AG643" s="627"/>
      <c r="AH643" s="627"/>
      <c r="AI643" s="627"/>
      <c r="AJ643" s="627"/>
      <c r="AK643" s="627"/>
      <c r="AL643" s="627"/>
    </row>
    <row r="644" spans="1:38" ht="11.1" customHeight="1" x14ac:dyDescent="0.25">
      <c r="A644" s="630" t="s">
        <v>3966</v>
      </c>
      <c r="B644" s="630"/>
      <c r="C644" s="630"/>
      <c r="M644" s="630" t="s">
        <v>1010</v>
      </c>
      <c r="N644" s="630"/>
      <c r="O644" s="630"/>
      <c r="P644" s="630"/>
      <c r="Q644" s="627">
        <v>-7966.48</v>
      </c>
      <c r="R644" s="627"/>
      <c r="T644" s="631">
        <v>13179.91</v>
      </c>
      <c r="U644" s="631"/>
      <c r="V644" s="631"/>
      <c r="Y644" s="631">
        <v>6860.73</v>
      </c>
      <c r="Z644" s="631"/>
      <c r="AA644" s="631"/>
      <c r="AB644" s="631"/>
      <c r="AC644" s="631"/>
      <c r="AD644" s="631"/>
      <c r="AF644" s="627">
        <v>-1647.3</v>
      </c>
      <c r="AG644" s="627"/>
      <c r="AH644" s="627"/>
      <c r="AI644" s="627"/>
      <c r="AJ644" s="627"/>
      <c r="AK644" s="627"/>
      <c r="AL644" s="627"/>
    </row>
    <row r="645" spans="1:38" ht="11.1" customHeight="1" x14ac:dyDescent="0.25">
      <c r="A645" s="630" t="s">
        <v>3967</v>
      </c>
      <c r="B645" s="630"/>
      <c r="C645" s="630"/>
      <c r="M645" s="630" t="s">
        <v>1012</v>
      </c>
      <c r="N645" s="630"/>
      <c r="O645" s="630"/>
      <c r="P645" s="630"/>
      <c r="Q645" s="627">
        <v>0</v>
      </c>
      <c r="R645" s="627"/>
      <c r="T645" s="631">
        <v>168.37</v>
      </c>
      <c r="U645" s="631"/>
      <c r="V645" s="631"/>
      <c r="Y645" s="631">
        <v>168.37</v>
      </c>
      <c r="Z645" s="631"/>
      <c r="AA645" s="631"/>
      <c r="AB645" s="631"/>
      <c r="AC645" s="631"/>
      <c r="AD645" s="631"/>
      <c r="AF645" s="627">
        <v>0</v>
      </c>
      <c r="AG645" s="627"/>
      <c r="AH645" s="627"/>
      <c r="AI645" s="627"/>
      <c r="AJ645" s="627"/>
      <c r="AK645" s="627"/>
      <c r="AL645" s="627"/>
    </row>
    <row r="646" spans="1:38" ht="11.1" customHeight="1" x14ac:dyDescent="0.25">
      <c r="A646" s="630" t="s">
        <v>3968</v>
      </c>
      <c r="B646" s="630"/>
      <c r="C646" s="630"/>
      <c r="M646" s="630" t="s">
        <v>1014</v>
      </c>
      <c r="N646" s="630"/>
      <c r="O646" s="630"/>
      <c r="P646" s="630"/>
      <c r="Q646" s="627">
        <v>0</v>
      </c>
      <c r="R646" s="627"/>
      <c r="T646" s="631">
        <v>377.61</v>
      </c>
      <c r="U646" s="631"/>
      <c r="V646" s="631"/>
      <c r="Y646" s="631">
        <v>377.61</v>
      </c>
      <c r="Z646" s="631"/>
      <c r="AA646" s="631"/>
      <c r="AB646" s="631"/>
      <c r="AC646" s="631"/>
      <c r="AD646" s="631"/>
      <c r="AF646" s="627">
        <v>0</v>
      </c>
      <c r="AG646" s="627"/>
      <c r="AH646" s="627"/>
      <c r="AI646" s="627"/>
      <c r="AJ646" s="627"/>
      <c r="AK646" s="627"/>
      <c r="AL646" s="627"/>
    </row>
    <row r="647" spans="1:38" ht="11.1" customHeight="1" x14ac:dyDescent="0.25">
      <c r="A647" s="630" t="s">
        <v>3969</v>
      </c>
      <c r="B647" s="630"/>
      <c r="C647" s="630"/>
      <c r="M647" s="630" t="s">
        <v>1016</v>
      </c>
      <c r="N647" s="630"/>
      <c r="O647" s="630"/>
      <c r="P647" s="630"/>
      <c r="Q647" s="627">
        <v>-19825.900000000001</v>
      </c>
      <c r="R647" s="627"/>
      <c r="T647" s="631">
        <v>19825.900000000001</v>
      </c>
      <c r="U647" s="631"/>
      <c r="V647" s="631"/>
      <c r="Y647" s="631">
        <v>32905.82</v>
      </c>
      <c r="Z647" s="631"/>
      <c r="AA647" s="631"/>
      <c r="AB647" s="631"/>
      <c r="AC647" s="631"/>
      <c r="AD647" s="631"/>
      <c r="AF647" s="627">
        <v>-32905.82</v>
      </c>
      <c r="AG647" s="627"/>
      <c r="AH647" s="627"/>
      <c r="AI647" s="627"/>
      <c r="AJ647" s="627"/>
      <c r="AK647" s="627"/>
      <c r="AL647" s="627"/>
    </row>
    <row r="648" spans="1:38" ht="11.1" customHeight="1" x14ac:dyDescent="0.25">
      <c r="A648" s="630" t="s">
        <v>3970</v>
      </c>
      <c r="B648" s="630"/>
      <c r="C648" s="630"/>
      <c r="M648" s="630" t="s">
        <v>1018</v>
      </c>
      <c r="N648" s="630"/>
      <c r="O648" s="630"/>
      <c r="P648" s="630"/>
      <c r="Q648" s="627">
        <v>0</v>
      </c>
      <c r="R648" s="627"/>
      <c r="T648" s="631">
        <v>2698.16</v>
      </c>
      <c r="U648" s="631"/>
      <c r="V648" s="631"/>
      <c r="Y648" s="631">
        <v>2698.16</v>
      </c>
      <c r="Z648" s="631"/>
      <c r="AA648" s="631"/>
      <c r="AB648" s="631"/>
      <c r="AC648" s="631"/>
      <c r="AD648" s="631"/>
      <c r="AF648" s="627">
        <v>0</v>
      </c>
      <c r="AG648" s="627"/>
      <c r="AH648" s="627"/>
      <c r="AI648" s="627"/>
      <c r="AJ648" s="627"/>
      <c r="AK648" s="627"/>
      <c r="AL648" s="627"/>
    </row>
    <row r="649" spans="1:38" ht="11.1" customHeight="1" x14ac:dyDescent="0.25">
      <c r="A649" s="630" t="s">
        <v>3971</v>
      </c>
      <c r="B649" s="630"/>
      <c r="C649" s="630"/>
      <c r="M649" s="630" t="s">
        <v>1020</v>
      </c>
      <c r="N649" s="630"/>
      <c r="O649" s="630"/>
      <c r="P649" s="630"/>
      <c r="Q649" s="627">
        <v>-31848.23</v>
      </c>
      <c r="R649" s="627"/>
      <c r="T649" s="631">
        <v>31848.23</v>
      </c>
      <c r="U649" s="631"/>
      <c r="V649" s="631"/>
      <c r="Y649" s="631">
        <v>32979</v>
      </c>
      <c r="Z649" s="631"/>
      <c r="AA649" s="631"/>
      <c r="AB649" s="631"/>
      <c r="AC649" s="631"/>
      <c r="AD649" s="631"/>
      <c r="AF649" s="627">
        <v>-32979</v>
      </c>
      <c r="AG649" s="627"/>
      <c r="AH649" s="627"/>
      <c r="AI649" s="627"/>
      <c r="AJ649" s="627"/>
      <c r="AK649" s="627"/>
      <c r="AL649" s="627"/>
    </row>
    <row r="650" spans="1:38" ht="11.1" customHeight="1" x14ac:dyDescent="0.25">
      <c r="A650" s="630" t="s">
        <v>3972</v>
      </c>
      <c r="B650" s="630"/>
      <c r="C650" s="630"/>
      <c r="M650" s="630" t="s">
        <v>1022</v>
      </c>
      <c r="N650" s="630"/>
      <c r="O650" s="630"/>
      <c r="P650" s="630"/>
      <c r="Q650" s="627">
        <v>-31848.23</v>
      </c>
      <c r="R650" s="627"/>
      <c r="T650" s="631">
        <v>31848.23</v>
      </c>
      <c r="U650" s="631"/>
      <c r="V650" s="631"/>
      <c r="Y650" s="631">
        <v>32979</v>
      </c>
      <c r="Z650" s="631"/>
      <c r="AA650" s="631"/>
      <c r="AB650" s="631"/>
      <c r="AC650" s="631"/>
      <c r="AD650" s="631"/>
      <c r="AF650" s="627">
        <v>-32979</v>
      </c>
      <c r="AG650" s="627"/>
      <c r="AH650" s="627"/>
      <c r="AI650" s="627"/>
      <c r="AJ650" s="627"/>
      <c r="AK650" s="627"/>
      <c r="AL650" s="627"/>
    </row>
    <row r="651" spans="1:38" ht="11.1" customHeight="1" x14ac:dyDescent="0.25">
      <c r="A651" s="630" t="s">
        <v>3973</v>
      </c>
      <c r="B651" s="630"/>
      <c r="C651" s="630"/>
      <c r="M651" s="630" t="s">
        <v>1024</v>
      </c>
      <c r="N651" s="630"/>
      <c r="O651" s="630"/>
      <c r="P651" s="630"/>
      <c r="Q651" s="627">
        <v>0</v>
      </c>
      <c r="R651" s="627"/>
      <c r="T651" s="631">
        <v>16615.53</v>
      </c>
      <c r="U651" s="631"/>
      <c r="V651" s="631"/>
      <c r="Y651" s="631">
        <v>16615.53</v>
      </c>
      <c r="Z651" s="631"/>
      <c r="AA651" s="631"/>
      <c r="AB651" s="631"/>
      <c r="AC651" s="631"/>
      <c r="AD651" s="631"/>
      <c r="AF651" s="627">
        <v>0</v>
      </c>
      <c r="AG651" s="627"/>
      <c r="AH651" s="627"/>
      <c r="AI651" s="627"/>
      <c r="AJ651" s="627"/>
      <c r="AK651" s="627"/>
      <c r="AL651" s="627"/>
    </row>
    <row r="652" spans="1:38" ht="11.1" customHeight="1" x14ac:dyDescent="0.25">
      <c r="A652" s="630" t="s">
        <v>3974</v>
      </c>
      <c r="B652" s="630"/>
      <c r="C652" s="630"/>
      <c r="M652" s="630" t="s">
        <v>1026</v>
      </c>
      <c r="N652" s="630"/>
      <c r="O652" s="630"/>
      <c r="P652" s="630"/>
      <c r="Q652" s="627">
        <v>0</v>
      </c>
      <c r="R652" s="627"/>
      <c r="T652" s="631">
        <v>2890.46</v>
      </c>
      <c r="U652" s="631"/>
      <c r="V652" s="631"/>
      <c r="Y652" s="631">
        <v>2890.46</v>
      </c>
      <c r="Z652" s="631"/>
      <c r="AA652" s="631"/>
      <c r="AB652" s="631"/>
      <c r="AC652" s="631"/>
      <c r="AD652" s="631"/>
      <c r="AF652" s="627">
        <v>0</v>
      </c>
      <c r="AG652" s="627"/>
      <c r="AH652" s="627"/>
      <c r="AI652" s="627"/>
      <c r="AJ652" s="627"/>
      <c r="AK652" s="627"/>
      <c r="AL652" s="627"/>
    </row>
    <row r="653" spans="1:38" ht="11.1" customHeight="1" x14ac:dyDescent="0.25">
      <c r="A653" s="632" t="s">
        <v>3975</v>
      </c>
      <c r="B653" s="632"/>
      <c r="C653" s="632"/>
      <c r="J653" s="632" t="s">
        <v>331</v>
      </c>
      <c r="K653" s="632"/>
      <c r="L653" s="632"/>
      <c r="M653" s="632"/>
      <c r="N653" s="632"/>
      <c r="O653" s="632"/>
      <c r="P653" s="632"/>
      <c r="Q653" s="633">
        <v>-110274.46</v>
      </c>
      <c r="R653" s="633"/>
      <c r="T653" s="634">
        <v>36812.49</v>
      </c>
      <c r="U653" s="634"/>
      <c r="V653" s="634"/>
      <c r="Y653" s="634">
        <v>0.02</v>
      </c>
      <c r="Z653" s="634"/>
      <c r="AA653" s="634"/>
      <c r="AB653" s="634"/>
      <c r="AC653" s="634"/>
      <c r="AD653" s="634"/>
      <c r="AF653" s="633">
        <v>-73461.990000000005</v>
      </c>
      <c r="AG653" s="633"/>
      <c r="AH653" s="633"/>
      <c r="AI653" s="633"/>
      <c r="AJ653" s="633"/>
      <c r="AK653" s="633"/>
      <c r="AL653" s="633"/>
    </row>
    <row r="654" spans="1:38" ht="11.1" customHeight="1" x14ac:dyDescent="0.25">
      <c r="A654" s="630" t="s">
        <v>3976</v>
      </c>
      <c r="B654" s="630"/>
      <c r="C654" s="630"/>
      <c r="L654" s="630" t="s">
        <v>302</v>
      </c>
      <c r="M654" s="630"/>
      <c r="N654" s="630"/>
      <c r="O654" s="630"/>
      <c r="P654" s="630"/>
      <c r="Q654" s="627">
        <v>-110274.46</v>
      </c>
      <c r="R654" s="627"/>
      <c r="T654" s="631">
        <v>36812.49</v>
      </c>
      <c r="U654" s="631"/>
      <c r="V654" s="631"/>
      <c r="Y654" s="631">
        <v>0.02</v>
      </c>
      <c r="Z654" s="631"/>
      <c r="AA654" s="631"/>
      <c r="AB654" s="631"/>
      <c r="AC654" s="631"/>
      <c r="AD654" s="631"/>
      <c r="AF654" s="627">
        <v>-73461.990000000005</v>
      </c>
      <c r="AG654" s="627"/>
      <c r="AH654" s="627"/>
      <c r="AI654" s="627"/>
      <c r="AJ654" s="627"/>
      <c r="AK654" s="627"/>
      <c r="AL654" s="627"/>
    </row>
    <row r="655" spans="1:38" ht="11.1" customHeight="1" x14ac:dyDescent="0.25">
      <c r="A655" s="630" t="s">
        <v>3977</v>
      </c>
      <c r="B655" s="630"/>
      <c r="C655" s="630"/>
      <c r="M655" s="630" t="s">
        <v>1030</v>
      </c>
      <c r="N655" s="630"/>
      <c r="O655" s="630"/>
      <c r="P655" s="630"/>
      <c r="Q655" s="627">
        <v>-60693.14</v>
      </c>
      <c r="R655" s="627"/>
      <c r="T655" s="631">
        <v>6397.45</v>
      </c>
      <c r="U655" s="631"/>
      <c r="V655" s="631"/>
      <c r="Y655" s="631">
        <v>0</v>
      </c>
      <c r="Z655" s="631"/>
      <c r="AA655" s="631"/>
      <c r="AB655" s="631"/>
      <c r="AC655" s="631"/>
      <c r="AD655" s="631"/>
      <c r="AF655" s="627">
        <v>-54295.69</v>
      </c>
      <c r="AG655" s="627"/>
      <c r="AH655" s="627"/>
      <c r="AI655" s="627"/>
      <c r="AJ655" s="627"/>
      <c r="AK655" s="627"/>
      <c r="AL655" s="627"/>
    </row>
    <row r="656" spans="1:38" ht="11.1" customHeight="1" x14ac:dyDescent="0.25">
      <c r="A656" s="630" t="s">
        <v>3978</v>
      </c>
      <c r="B656" s="630"/>
      <c r="C656" s="630"/>
      <c r="M656" s="630" t="s">
        <v>1032</v>
      </c>
      <c r="N656" s="630"/>
      <c r="O656" s="630"/>
      <c r="P656" s="630"/>
      <c r="Q656" s="627">
        <v>-16569.18</v>
      </c>
      <c r="R656" s="627"/>
      <c r="T656" s="631">
        <v>1746.5</v>
      </c>
      <c r="U656" s="631"/>
      <c r="V656" s="631"/>
      <c r="Y656" s="631">
        <v>0.01</v>
      </c>
      <c r="Z656" s="631"/>
      <c r="AA656" s="631"/>
      <c r="AB656" s="631"/>
      <c r="AC656" s="631"/>
      <c r="AD656" s="631"/>
      <c r="AF656" s="627">
        <v>-14822.69</v>
      </c>
      <c r="AG656" s="627"/>
      <c r="AH656" s="627"/>
      <c r="AI656" s="627"/>
      <c r="AJ656" s="627"/>
      <c r="AK656" s="627"/>
      <c r="AL656" s="627"/>
    </row>
    <row r="657" spans="1:38" ht="11.1" customHeight="1" x14ac:dyDescent="0.25">
      <c r="A657" s="630" t="s">
        <v>3979</v>
      </c>
      <c r="B657" s="630"/>
      <c r="C657" s="630"/>
      <c r="M657" s="630" t="s">
        <v>1034</v>
      </c>
      <c r="N657" s="630"/>
      <c r="O657" s="630"/>
      <c r="P657" s="630"/>
      <c r="Q657" s="627">
        <v>-4855.41</v>
      </c>
      <c r="R657" s="627"/>
      <c r="T657" s="631">
        <v>511.8</v>
      </c>
      <c r="U657" s="631"/>
      <c r="V657" s="631"/>
      <c r="Y657" s="631">
        <v>0</v>
      </c>
      <c r="Z657" s="631"/>
      <c r="AA657" s="631"/>
      <c r="AB657" s="631"/>
      <c r="AC657" s="631"/>
      <c r="AD657" s="631"/>
      <c r="AF657" s="627">
        <v>-4343.6099999999997</v>
      </c>
      <c r="AG657" s="627"/>
      <c r="AH657" s="627"/>
      <c r="AI657" s="627"/>
      <c r="AJ657" s="627"/>
      <c r="AK657" s="627"/>
      <c r="AL657" s="627"/>
    </row>
    <row r="658" spans="1:38" ht="11.1" customHeight="1" x14ac:dyDescent="0.25">
      <c r="A658" s="630" t="s">
        <v>3980</v>
      </c>
      <c r="B658" s="630"/>
      <c r="C658" s="630"/>
      <c r="M658" s="630" t="s">
        <v>1036</v>
      </c>
      <c r="N658" s="630"/>
      <c r="O658" s="630"/>
      <c r="P658" s="630"/>
      <c r="Q658" s="627">
        <v>-16887.97</v>
      </c>
      <c r="R658" s="627"/>
      <c r="T658" s="631">
        <v>16887.97</v>
      </c>
      <c r="U658" s="631"/>
      <c r="V658" s="631"/>
      <c r="Y658" s="631">
        <v>0</v>
      </c>
      <c r="Z658" s="631"/>
      <c r="AA658" s="631"/>
      <c r="AB658" s="631"/>
      <c r="AC658" s="631"/>
      <c r="AD658" s="631"/>
      <c r="AF658" s="627">
        <v>0</v>
      </c>
      <c r="AG658" s="627"/>
      <c r="AH658" s="627"/>
      <c r="AI658" s="627"/>
      <c r="AJ658" s="627"/>
      <c r="AK658" s="627"/>
      <c r="AL658" s="627"/>
    </row>
    <row r="659" spans="1:38" ht="11.1" customHeight="1" x14ac:dyDescent="0.25">
      <c r="A659" s="630" t="s">
        <v>3981</v>
      </c>
      <c r="B659" s="630"/>
      <c r="C659" s="630"/>
      <c r="M659" s="630" t="s">
        <v>1038</v>
      </c>
      <c r="N659" s="630"/>
      <c r="O659" s="630"/>
      <c r="P659" s="630"/>
      <c r="Q659" s="627">
        <v>-9917.75</v>
      </c>
      <c r="R659" s="627"/>
      <c r="T659" s="631">
        <v>9917.75</v>
      </c>
      <c r="U659" s="631"/>
      <c r="V659" s="631"/>
      <c r="Y659" s="631">
        <v>0</v>
      </c>
      <c r="Z659" s="631"/>
      <c r="AA659" s="631"/>
      <c r="AB659" s="631"/>
      <c r="AC659" s="631"/>
      <c r="AD659" s="631"/>
      <c r="AF659" s="627">
        <v>0</v>
      </c>
      <c r="AG659" s="627"/>
      <c r="AH659" s="627"/>
      <c r="AI659" s="627"/>
      <c r="AJ659" s="627"/>
      <c r="AK659" s="627"/>
      <c r="AL659" s="627"/>
    </row>
    <row r="660" spans="1:38" ht="11.1" customHeight="1" x14ac:dyDescent="0.25">
      <c r="A660" s="630" t="s">
        <v>3982</v>
      </c>
      <c r="B660" s="630"/>
      <c r="C660" s="630"/>
      <c r="M660" s="630" t="s">
        <v>1040</v>
      </c>
      <c r="N660" s="630"/>
      <c r="O660" s="630"/>
      <c r="P660" s="630"/>
      <c r="Q660" s="627">
        <v>-1351.01</v>
      </c>
      <c r="R660" s="627"/>
      <c r="T660" s="631">
        <v>1351.02</v>
      </c>
      <c r="U660" s="631"/>
      <c r="V660" s="631"/>
      <c r="Y660" s="631">
        <v>0.01</v>
      </c>
      <c r="Z660" s="631"/>
      <c r="AA660" s="631"/>
      <c r="AB660" s="631"/>
      <c r="AC660" s="631"/>
      <c r="AD660" s="631"/>
      <c r="AF660" s="627">
        <v>0</v>
      </c>
      <c r="AG660" s="627"/>
      <c r="AH660" s="627"/>
      <c r="AI660" s="627"/>
      <c r="AJ660" s="627"/>
      <c r="AK660" s="627"/>
      <c r="AL660" s="627"/>
    </row>
    <row r="661" spans="1:38" ht="11.1" customHeight="1" x14ac:dyDescent="0.25">
      <c r="A661" s="632" t="s">
        <v>3983</v>
      </c>
      <c r="B661" s="632"/>
      <c r="C661" s="632"/>
      <c r="H661" s="632" t="s">
        <v>1042</v>
      </c>
      <c r="I661" s="632"/>
      <c r="J661" s="632"/>
      <c r="K661" s="632"/>
      <c r="L661" s="632"/>
      <c r="M661" s="632"/>
      <c r="N661" s="632"/>
      <c r="O661" s="632"/>
      <c r="P661" s="632"/>
      <c r="Q661" s="633">
        <v>-625384.02</v>
      </c>
      <c r="R661" s="633"/>
      <c r="T661" s="634">
        <v>7831535.4800000004</v>
      </c>
      <c r="U661" s="634"/>
      <c r="V661" s="634"/>
      <c r="Y661" s="634">
        <v>8285376.6399999997</v>
      </c>
      <c r="Z661" s="634"/>
      <c r="AA661" s="634"/>
      <c r="AB661" s="634"/>
      <c r="AC661" s="634"/>
      <c r="AD661" s="634"/>
      <c r="AF661" s="633">
        <v>-1079225.18</v>
      </c>
      <c r="AG661" s="633"/>
      <c r="AH661" s="633"/>
      <c r="AI661" s="633"/>
      <c r="AJ661" s="633"/>
      <c r="AK661" s="633"/>
      <c r="AL661" s="633"/>
    </row>
    <row r="662" spans="1:38" ht="11.1" customHeight="1" x14ac:dyDescent="0.25">
      <c r="A662" s="632" t="s">
        <v>3984</v>
      </c>
      <c r="B662" s="632"/>
      <c r="C662" s="632"/>
      <c r="I662" s="632" t="s">
        <v>413</v>
      </c>
      <c r="J662" s="632"/>
      <c r="K662" s="632"/>
      <c r="L662" s="632"/>
      <c r="M662" s="632"/>
      <c r="N662" s="632"/>
      <c r="O662" s="632"/>
      <c r="P662" s="632"/>
      <c r="Q662" s="633">
        <v>-96043.839999999997</v>
      </c>
      <c r="R662" s="633"/>
      <c r="T662" s="634">
        <v>7352122.9299999997</v>
      </c>
      <c r="U662" s="634"/>
      <c r="V662" s="634"/>
      <c r="Y662" s="634">
        <v>7915343.9000000004</v>
      </c>
      <c r="Z662" s="634"/>
      <c r="AA662" s="634"/>
      <c r="AB662" s="634"/>
      <c r="AC662" s="634"/>
      <c r="AD662" s="634"/>
      <c r="AF662" s="633">
        <v>-659264.81000000006</v>
      </c>
      <c r="AG662" s="633"/>
      <c r="AH662" s="633"/>
      <c r="AI662" s="633"/>
      <c r="AJ662" s="633"/>
      <c r="AK662" s="633"/>
      <c r="AL662" s="633"/>
    </row>
    <row r="663" spans="1:38" ht="11.1" customHeight="1" x14ac:dyDescent="0.25">
      <c r="A663" s="632" t="s">
        <v>3985</v>
      </c>
      <c r="B663" s="632"/>
      <c r="C663" s="632"/>
      <c r="J663" s="632" t="s">
        <v>415</v>
      </c>
      <c r="K663" s="632"/>
      <c r="L663" s="632"/>
      <c r="M663" s="632"/>
      <c r="N663" s="632"/>
      <c r="O663" s="632"/>
      <c r="P663" s="632"/>
      <c r="Q663" s="633">
        <v>261559.08</v>
      </c>
      <c r="R663" s="633"/>
      <c r="T663" s="634">
        <v>4828541.3499999996</v>
      </c>
      <c r="U663" s="634"/>
      <c r="V663" s="634"/>
      <c r="Y663" s="634">
        <v>5090100.43</v>
      </c>
      <c r="Z663" s="634"/>
      <c r="AA663" s="634"/>
      <c r="AB663" s="634"/>
      <c r="AC663" s="634"/>
      <c r="AD663" s="634"/>
      <c r="AF663" s="633">
        <v>0</v>
      </c>
      <c r="AG663" s="633"/>
      <c r="AH663" s="633"/>
      <c r="AI663" s="633"/>
      <c r="AJ663" s="633"/>
      <c r="AK663" s="633"/>
      <c r="AL663" s="633"/>
    </row>
    <row r="664" spans="1:38" ht="11.1" customHeight="1" x14ac:dyDescent="0.25">
      <c r="A664" s="630" t="s">
        <v>3986</v>
      </c>
      <c r="B664" s="630"/>
      <c r="C664" s="630"/>
      <c r="K664" s="630" t="s">
        <v>415</v>
      </c>
      <c r="L664" s="630"/>
      <c r="M664" s="630"/>
      <c r="N664" s="630"/>
      <c r="O664" s="630"/>
      <c r="P664" s="630"/>
      <c r="Q664" s="627">
        <v>261559.08</v>
      </c>
      <c r="R664" s="627"/>
      <c r="T664" s="631">
        <v>4828541.3499999996</v>
      </c>
      <c r="U664" s="631"/>
      <c r="V664" s="631"/>
      <c r="Y664" s="631">
        <v>5090100.43</v>
      </c>
      <c r="Z664" s="631"/>
      <c r="AA664" s="631"/>
      <c r="AB664" s="631"/>
      <c r="AC664" s="631"/>
      <c r="AD664" s="631"/>
      <c r="AF664" s="627">
        <v>0</v>
      </c>
      <c r="AG664" s="627"/>
      <c r="AH664" s="627"/>
      <c r="AI664" s="627"/>
      <c r="AJ664" s="627"/>
      <c r="AK664" s="627"/>
      <c r="AL664" s="627"/>
    </row>
    <row r="665" spans="1:38" ht="11.1" customHeight="1" x14ac:dyDescent="0.25">
      <c r="A665" s="630" t="s">
        <v>3987</v>
      </c>
      <c r="B665" s="630"/>
      <c r="C665" s="630"/>
      <c r="L665" s="630" t="s">
        <v>415</v>
      </c>
      <c r="M665" s="630"/>
      <c r="N665" s="630"/>
      <c r="O665" s="630"/>
      <c r="P665" s="630"/>
      <c r="Q665" s="627">
        <v>261559.08</v>
      </c>
      <c r="R665" s="627"/>
      <c r="T665" s="631">
        <v>4828541.3499999996</v>
      </c>
      <c r="U665" s="631"/>
      <c r="V665" s="631"/>
      <c r="Y665" s="631">
        <v>5090100.43</v>
      </c>
      <c r="Z665" s="631"/>
      <c r="AA665" s="631"/>
      <c r="AB665" s="631"/>
      <c r="AC665" s="631"/>
      <c r="AD665" s="631"/>
      <c r="AF665" s="627">
        <v>0</v>
      </c>
      <c r="AG665" s="627"/>
      <c r="AH665" s="627"/>
      <c r="AI665" s="627"/>
      <c r="AJ665" s="627"/>
      <c r="AK665" s="627"/>
      <c r="AL665" s="627"/>
    </row>
    <row r="666" spans="1:38" ht="11.1" customHeight="1" x14ac:dyDescent="0.25">
      <c r="A666" s="630" t="s">
        <v>3988</v>
      </c>
      <c r="B666" s="630"/>
      <c r="C666" s="630"/>
      <c r="M666" s="630" t="s">
        <v>236</v>
      </c>
      <c r="N666" s="630"/>
      <c r="O666" s="630"/>
      <c r="P666" s="630"/>
      <c r="Q666" s="627">
        <v>261559.08</v>
      </c>
      <c r="R666" s="627"/>
      <c r="T666" s="631">
        <v>4828541.3499999996</v>
      </c>
      <c r="U666" s="631"/>
      <c r="V666" s="631"/>
      <c r="Y666" s="631">
        <v>5090100.43</v>
      </c>
      <c r="Z666" s="631"/>
      <c r="AA666" s="631"/>
      <c r="AB666" s="631"/>
      <c r="AC666" s="631"/>
      <c r="AD666" s="631"/>
      <c r="AF666" s="627">
        <v>0</v>
      </c>
      <c r="AG666" s="627"/>
      <c r="AH666" s="627"/>
      <c r="AI666" s="627"/>
      <c r="AJ666" s="627"/>
      <c r="AK666" s="627"/>
      <c r="AL666" s="627"/>
    </row>
    <row r="667" spans="1:38" ht="11.1" customHeight="1" x14ac:dyDescent="0.25">
      <c r="A667" s="632" t="s">
        <v>3989</v>
      </c>
      <c r="B667" s="632"/>
      <c r="C667" s="632"/>
      <c r="J667" s="632" t="s">
        <v>421</v>
      </c>
      <c r="K667" s="632"/>
      <c r="L667" s="632"/>
      <c r="M667" s="632"/>
      <c r="N667" s="632"/>
      <c r="O667" s="632"/>
      <c r="P667" s="632"/>
      <c r="Q667" s="633">
        <v>86241.27</v>
      </c>
      <c r="R667" s="633"/>
      <c r="T667" s="634">
        <v>1550562.93</v>
      </c>
      <c r="U667" s="634"/>
      <c r="V667" s="634"/>
      <c r="Y667" s="634">
        <v>1636804.2</v>
      </c>
      <c r="Z667" s="634"/>
      <c r="AA667" s="634"/>
      <c r="AB667" s="634"/>
      <c r="AC667" s="634"/>
      <c r="AD667" s="634"/>
      <c r="AF667" s="633">
        <v>0</v>
      </c>
      <c r="AG667" s="633"/>
      <c r="AH667" s="633"/>
      <c r="AI667" s="633"/>
      <c r="AJ667" s="633"/>
      <c r="AK667" s="633"/>
      <c r="AL667" s="633"/>
    </row>
    <row r="668" spans="1:38" ht="11.1" customHeight="1" x14ac:dyDescent="0.25">
      <c r="A668" s="630" t="s">
        <v>3990</v>
      </c>
      <c r="B668" s="630"/>
      <c r="C668" s="630"/>
      <c r="K668" s="630" t="s">
        <v>421</v>
      </c>
      <c r="L668" s="630"/>
      <c r="M668" s="630"/>
      <c r="N668" s="630"/>
      <c r="O668" s="630"/>
      <c r="P668" s="630"/>
      <c r="Q668" s="627">
        <v>86241.27</v>
      </c>
      <c r="R668" s="627"/>
      <c r="T668" s="631">
        <v>1550562.93</v>
      </c>
      <c r="U668" s="631"/>
      <c r="V668" s="631"/>
      <c r="Y668" s="631">
        <v>1636804.2</v>
      </c>
      <c r="Z668" s="631"/>
      <c r="AA668" s="631"/>
      <c r="AB668" s="631"/>
      <c r="AC668" s="631"/>
      <c r="AD668" s="631"/>
      <c r="AF668" s="627">
        <v>0</v>
      </c>
      <c r="AG668" s="627"/>
      <c r="AH668" s="627"/>
      <c r="AI668" s="627"/>
      <c r="AJ668" s="627"/>
      <c r="AK668" s="627"/>
      <c r="AL668" s="627"/>
    </row>
    <row r="669" spans="1:38" ht="11.1" customHeight="1" x14ac:dyDescent="0.25">
      <c r="A669" s="630" t="s">
        <v>3991</v>
      </c>
      <c r="B669" s="630"/>
      <c r="C669" s="630"/>
      <c r="L669" s="630" t="s">
        <v>421</v>
      </c>
      <c r="M669" s="630"/>
      <c r="N669" s="630"/>
      <c r="O669" s="630"/>
      <c r="P669" s="630"/>
      <c r="Q669" s="627">
        <v>86241.27</v>
      </c>
      <c r="R669" s="627"/>
      <c r="T669" s="631">
        <v>1550562.93</v>
      </c>
      <c r="U669" s="631"/>
      <c r="V669" s="631"/>
      <c r="Y669" s="631">
        <v>1636804.2</v>
      </c>
      <c r="Z669" s="631"/>
      <c r="AA669" s="631"/>
      <c r="AB669" s="631"/>
      <c r="AC669" s="631"/>
      <c r="AD669" s="631"/>
      <c r="AF669" s="627">
        <v>0</v>
      </c>
      <c r="AG669" s="627"/>
      <c r="AH669" s="627"/>
      <c r="AI669" s="627"/>
      <c r="AJ669" s="627"/>
      <c r="AK669" s="627"/>
      <c r="AL669" s="627"/>
    </row>
    <row r="670" spans="1:38" ht="11.1" customHeight="1" x14ac:dyDescent="0.25">
      <c r="A670" s="630" t="s">
        <v>3992</v>
      </c>
      <c r="B670" s="630"/>
      <c r="C670" s="630"/>
      <c r="M670" s="630" t="s">
        <v>237</v>
      </c>
      <c r="N670" s="630"/>
      <c r="O670" s="630"/>
      <c r="P670" s="630"/>
      <c r="Q670" s="627">
        <v>86241.27</v>
      </c>
      <c r="R670" s="627"/>
      <c r="T670" s="631">
        <v>1550562.93</v>
      </c>
      <c r="U670" s="631"/>
      <c r="V670" s="631"/>
      <c r="Y670" s="631">
        <v>1636804.2</v>
      </c>
      <c r="Z670" s="631"/>
      <c r="AA670" s="631"/>
      <c r="AB670" s="631"/>
      <c r="AC670" s="631"/>
      <c r="AD670" s="631"/>
      <c r="AF670" s="627">
        <v>0</v>
      </c>
      <c r="AG670" s="627"/>
      <c r="AH670" s="627"/>
      <c r="AI670" s="627"/>
      <c r="AJ670" s="627"/>
      <c r="AK670" s="627"/>
      <c r="AL670" s="627"/>
    </row>
    <row r="671" spans="1:38" ht="11.1" customHeight="1" x14ac:dyDescent="0.25">
      <c r="A671" s="632" t="s">
        <v>3993</v>
      </c>
      <c r="B671" s="632"/>
      <c r="C671" s="632"/>
      <c r="J671" s="632" t="s">
        <v>445</v>
      </c>
      <c r="K671" s="632"/>
      <c r="L671" s="632"/>
      <c r="M671" s="632"/>
      <c r="N671" s="632"/>
      <c r="O671" s="632"/>
      <c r="P671" s="632"/>
      <c r="Q671" s="633">
        <v>-78639.320000000007</v>
      </c>
      <c r="R671" s="633"/>
      <c r="T671" s="634">
        <v>173032.61</v>
      </c>
      <c r="U671" s="634"/>
      <c r="V671" s="634"/>
      <c r="Y671" s="634">
        <v>211161.45</v>
      </c>
      <c r="Z671" s="634"/>
      <c r="AA671" s="634"/>
      <c r="AB671" s="634"/>
      <c r="AC671" s="634"/>
      <c r="AD671" s="634"/>
      <c r="AF671" s="633">
        <v>-116768.16</v>
      </c>
      <c r="AG671" s="633"/>
      <c r="AH671" s="633"/>
      <c r="AI671" s="633"/>
      <c r="AJ671" s="633"/>
      <c r="AK671" s="633"/>
      <c r="AL671" s="633"/>
    </row>
    <row r="672" spans="1:38" ht="11.1" customHeight="1" x14ac:dyDescent="0.25">
      <c r="A672" s="630" t="s">
        <v>3994</v>
      </c>
      <c r="B672" s="630"/>
      <c r="C672" s="630"/>
      <c r="K672" s="630" t="s">
        <v>445</v>
      </c>
      <c r="L672" s="630"/>
      <c r="M672" s="630"/>
      <c r="N672" s="630"/>
      <c r="O672" s="630"/>
      <c r="P672" s="630"/>
      <c r="Q672" s="627">
        <v>-78639.320000000007</v>
      </c>
      <c r="R672" s="627"/>
      <c r="T672" s="631">
        <v>173032.61</v>
      </c>
      <c r="U672" s="631"/>
      <c r="V672" s="631"/>
      <c r="Y672" s="631">
        <v>211161.45</v>
      </c>
      <c r="Z672" s="631"/>
      <c r="AA672" s="631"/>
      <c r="AB672" s="631"/>
      <c r="AC672" s="631"/>
      <c r="AD672" s="631"/>
      <c r="AF672" s="627">
        <v>-116768.16</v>
      </c>
      <c r="AG672" s="627"/>
      <c r="AH672" s="627"/>
      <c r="AI672" s="627"/>
      <c r="AJ672" s="627"/>
      <c r="AK672" s="627"/>
      <c r="AL672" s="627"/>
    </row>
    <row r="673" spans="1:38" ht="11.1" customHeight="1" x14ac:dyDescent="0.25">
      <c r="A673" s="630" t="s">
        <v>3995</v>
      </c>
      <c r="B673" s="630"/>
      <c r="C673" s="630"/>
      <c r="L673" s="630" t="s">
        <v>445</v>
      </c>
      <c r="M673" s="630"/>
      <c r="N673" s="630"/>
      <c r="O673" s="630"/>
      <c r="P673" s="630"/>
      <c r="Q673" s="627">
        <v>-78639.320000000007</v>
      </c>
      <c r="R673" s="627"/>
      <c r="T673" s="631">
        <v>173032.61</v>
      </c>
      <c r="U673" s="631"/>
      <c r="V673" s="631"/>
      <c r="Y673" s="631">
        <v>211161.45</v>
      </c>
      <c r="Z673" s="631"/>
      <c r="AA673" s="631"/>
      <c r="AB673" s="631"/>
      <c r="AC673" s="631"/>
      <c r="AD673" s="631"/>
      <c r="AF673" s="627">
        <v>-116768.16</v>
      </c>
      <c r="AG673" s="627"/>
      <c r="AH673" s="627"/>
      <c r="AI673" s="627"/>
      <c r="AJ673" s="627"/>
      <c r="AK673" s="627"/>
      <c r="AL673" s="627"/>
    </row>
    <row r="674" spans="1:38" ht="11.1" customHeight="1" x14ac:dyDescent="0.25">
      <c r="A674" s="630" t="s">
        <v>3996</v>
      </c>
      <c r="B674" s="630"/>
      <c r="C674" s="630"/>
      <c r="M674" s="630" t="s">
        <v>445</v>
      </c>
      <c r="N674" s="630"/>
      <c r="O674" s="630"/>
      <c r="P674" s="630"/>
      <c r="Q674" s="627">
        <v>-78639.320000000007</v>
      </c>
      <c r="R674" s="627"/>
      <c r="T674" s="631">
        <v>173032.61</v>
      </c>
      <c r="U674" s="631"/>
      <c r="V674" s="631"/>
      <c r="Y674" s="631">
        <v>211161.45</v>
      </c>
      <c r="Z674" s="631"/>
      <c r="AA674" s="631"/>
      <c r="AB674" s="631"/>
      <c r="AC674" s="631"/>
      <c r="AD674" s="631"/>
      <c r="AF674" s="627">
        <v>-116768.16</v>
      </c>
      <c r="AG674" s="627"/>
      <c r="AH674" s="627"/>
      <c r="AI674" s="627"/>
      <c r="AJ674" s="627"/>
      <c r="AK674" s="627"/>
      <c r="AL674" s="627"/>
    </row>
    <row r="675" spans="1:38" ht="11.1" customHeight="1" x14ac:dyDescent="0.25">
      <c r="A675" s="632" t="s">
        <v>3997</v>
      </c>
      <c r="B675" s="632"/>
      <c r="C675" s="632"/>
      <c r="J675" s="632" t="s">
        <v>216</v>
      </c>
      <c r="K675" s="632"/>
      <c r="L675" s="632"/>
      <c r="M675" s="632"/>
      <c r="N675" s="632"/>
      <c r="O675" s="632"/>
      <c r="P675" s="632"/>
      <c r="Q675" s="633">
        <v>-365204.87</v>
      </c>
      <c r="R675" s="633"/>
      <c r="T675" s="634">
        <v>799986.04</v>
      </c>
      <c r="U675" s="634"/>
      <c r="V675" s="634"/>
      <c r="Y675" s="634">
        <v>977277.82</v>
      </c>
      <c r="Z675" s="634"/>
      <c r="AA675" s="634"/>
      <c r="AB675" s="634"/>
      <c r="AC675" s="634"/>
      <c r="AD675" s="634"/>
      <c r="AF675" s="633">
        <v>-542496.65</v>
      </c>
      <c r="AG675" s="633"/>
      <c r="AH675" s="633"/>
      <c r="AI675" s="633"/>
      <c r="AJ675" s="633"/>
      <c r="AK675" s="633"/>
      <c r="AL675" s="633"/>
    </row>
    <row r="676" spans="1:38" ht="11.1" customHeight="1" x14ac:dyDescent="0.25">
      <c r="A676" s="630" t="s">
        <v>3998</v>
      </c>
      <c r="B676" s="630"/>
      <c r="C676" s="630"/>
      <c r="K676" s="630" t="s">
        <v>216</v>
      </c>
      <c r="L676" s="630"/>
      <c r="M676" s="630"/>
      <c r="N676" s="630"/>
      <c r="O676" s="630"/>
      <c r="P676" s="630"/>
      <c r="Q676" s="627">
        <v>-365204.87</v>
      </c>
      <c r="R676" s="627"/>
      <c r="T676" s="631">
        <v>799986.04</v>
      </c>
      <c r="U676" s="631"/>
      <c r="V676" s="631"/>
      <c r="Y676" s="631">
        <v>977277.82</v>
      </c>
      <c r="Z676" s="631"/>
      <c r="AA676" s="631"/>
      <c r="AB676" s="631"/>
      <c r="AC676" s="631"/>
      <c r="AD676" s="631"/>
      <c r="AF676" s="627">
        <v>-542496.65</v>
      </c>
      <c r="AG676" s="627"/>
      <c r="AH676" s="627"/>
      <c r="AI676" s="627"/>
      <c r="AJ676" s="627"/>
      <c r="AK676" s="627"/>
      <c r="AL676" s="627"/>
    </row>
    <row r="677" spans="1:38" ht="11.1" customHeight="1" x14ac:dyDescent="0.25">
      <c r="A677" s="630" t="s">
        <v>3999</v>
      </c>
      <c r="B677" s="630"/>
      <c r="C677" s="630"/>
      <c r="L677" s="630" t="s">
        <v>216</v>
      </c>
      <c r="M677" s="630"/>
      <c r="N677" s="630"/>
      <c r="O677" s="630"/>
      <c r="P677" s="630"/>
      <c r="Q677" s="627">
        <v>-365204.87</v>
      </c>
      <c r="R677" s="627"/>
      <c r="T677" s="631">
        <v>799986.04</v>
      </c>
      <c r="U677" s="631"/>
      <c r="V677" s="631"/>
      <c r="Y677" s="631">
        <v>977277.82</v>
      </c>
      <c r="Z677" s="631"/>
      <c r="AA677" s="631"/>
      <c r="AB677" s="631"/>
      <c r="AC677" s="631"/>
      <c r="AD677" s="631"/>
      <c r="AF677" s="627">
        <v>-542496.65</v>
      </c>
      <c r="AG677" s="627"/>
      <c r="AH677" s="627"/>
      <c r="AI677" s="627"/>
      <c r="AJ677" s="627"/>
      <c r="AK677" s="627"/>
      <c r="AL677" s="627"/>
    </row>
    <row r="678" spans="1:38" ht="11.1" customHeight="1" x14ac:dyDescent="0.25">
      <c r="A678" s="630" t="s">
        <v>4000</v>
      </c>
      <c r="B678" s="630"/>
      <c r="C678" s="630"/>
      <c r="M678" s="630" t="s">
        <v>216</v>
      </c>
      <c r="N678" s="630"/>
      <c r="O678" s="630"/>
      <c r="P678" s="630"/>
      <c r="Q678" s="627">
        <v>-365204.87</v>
      </c>
      <c r="R678" s="627"/>
      <c r="T678" s="631">
        <v>799986.04</v>
      </c>
      <c r="U678" s="631"/>
      <c r="V678" s="631"/>
      <c r="Y678" s="631">
        <v>977277.82</v>
      </c>
      <c r="Z678" s="631"/>
      <c r="AA678" s="631"/>
      <c r="AB678" s="631"/>
      <c r="AC678" s="631"/>
      <c r="AD678" s="631"/>
      <c r="AF678" s="627">
        <v>-542496.65</v>
      </c>
      <c r="AG678" s="627"/>
      <c r="AH678" s="627"/>
      <c r="AI678" s="627"/>
      <c r="AJ678" s="627"/>
      <c r="AK678" s="627"/>
      <c r="AL678" s="627"/>
    </row>
    <row r="679" spans="1:38" ht="11.1" customHeight="1" x14ac:dyDescent="0.25">
      <c r="A679" s="632" t="s">
        <v>4001</v>
      </c>
      <c r="B679" s="632"/>
      <c r="C679" s="632"/>
      <c r="I679" s="632" t="s">
        <v>1063</v>
      </c>
      <c r="J679" s="632"/>
      <c r="K679" s="632"/>
      <c r="L679" s="632"/>
      <c r="M679" s="632"/>
      <c r="N679" s="632"/>
      <c r="O679" s="632"/>
      <c r="P679" s="632"/>
      <c r="Q679" s="633">
        <v>-249766</v>
      </c>
      <c r="R679" s="633"/>
      <c r="T679" s="634">
        <v>128539.47</v>
      </c>
      <c r="U679" s="634"/>
      <c r="V679" s="634"/>
      <c r="Y679" s="634">
        <v>129431.98</v>
      </c>
      <c r="Z679" s="634"/>
      <c r="AA679" s="634"/>
      <c r="AB679" s="634"/>
      <c r="AC679" s="634"/>
      <c r="AD679" s="634"/>
      <c r="AF679" s="633">
        <v>-250658.51</v>
      </c>
      <c r="AG679" s="633"/>
      <c r="AH679" s="633"/>
      <c r="AI679" s="633"/>
      <c r="AJ679" s="633"/>
      <c r="AK679" s="633"/>
      <c r="AL679" s="633"/>
    </row>
    <row r="680" spans="1:38" ht="11.1" customHeight="1" x14ac:dyDescent="0.25">
      <c r="A680" s="632" t="s">
        <v>4002</v>
      </c>
      <c r="B680" s="632"/>
      <c r="C680" s="632"/>
      <c r="J680" s="632" t="s">
        <v>1065</v>
      </c>
      <c r="K680" s="632"/>
      <c r="L680" s="632"/>
      <c r="M680" s="632"/>
      <c r="N680" s="632"/>
      <c r="O680" s="632"/>
      <c r="P680" s="632"/>
      <c r="Q680" s="633">
        <v>-249766</v>
      </c>
      <c r="R680" s="633"/>
      <c r="T680" s="634">
        <v>128539.47</v>
      </c>
      <c r="U680" s="634"/>
      <c r="V680" s="634"/>
      <c r="Y680" s="634">
        <v>129431.98</v>
      </c>
      <c r="Z680" s="634"/>
      <c r="AA680" s="634"/>
      <c r="AB680" s="634"/>
      <c r="AC680" s="634"/>
      <c r="AD680" s="634"/>
      <c r="AF680" s="633">
        <v>-250658.51</v>
      </c>
      <c r="AG680" s="633"/>
      <c r="AH680" s="633"/>
      <c r="AI680" s="633"/>
      <c r="AJ680" s="633"/>
      <c r="AK680" s="633"/>
      <c r="AL680" s="633"/>
    </row>
    <row r="681" spans="1:38" ht="11.1" customHeight="1" x14ac:dyDescent="0.25">
      <c r="A681" s="630" t="s">
        <v>4003</v>
      </c>
      <c r="B681" s="630"/>
      <c r="C681" s="630"/>
      <c r="K681" s="630" t="s">
        <v>1065</v>
      </c>
      <c r="L681" s="630"/>
      <c r="M681" s="630"/>
      <c r="N681" s="630"/>
      <c r="O681" s="630"/>
      <c r="P681" s="630"/>
      <c r="Q681" s="627">
        <v>-249766</v>
      </c>
      <c r="R681" s="627"/>
      <c r="T681" s="631">
        <v>128539.47</v>
      </c>
      <c r="U681" s="631"/>
      <c r="V681" s="631"/>
      <c r="Y681" s="631">
        <v>129431.98</v>
      </c>
      <c r="Z681" s="631"/>
      <c r="AA681" s="631"/>
      <c r="AB681" s="631"/>
      <c r="AC681" s="631"/>
      <c r="AD681" s="631"/>
      <c r="AF681" s="627">
        <v>-250658.51</v>
      </c>
      <c r="AG681" s="627"/>
      <c r="AH681" s="627"/>
      <c r="AI681" s="627"/>
      <c r="AJ681" s="627"/>
      <c r="AK681" s="627"/>
      <c r="AL681" s="627"/>
    </row>
    <row r="682" spans="1:38" ht="11.1" customHeight="1" x14ac:dyDescent="0.25">
      <c r="A682" s="630" t="s">
        <v>4004</v>
      </c>
      <c r="B682" s="630"/>
      <c r="C682" s="630"/>
      <c r="L682" s="630" t="s">
        <v>1065</v>
      </c>
      <c r="M682" s="630"/>
      <c r="N682" s="630"/>
      <c r="O682" s="630"/>
      <c r="P682" s="630"/>
      <c r="Q682" s="627">
        <v>-249403</v>
      </c>
      <c r="R682" s="627"/>
      <c r="T682" s="631">
        <v>128539.47</v>
      </c>
      <c r="U682" s="631"/>
      <c r="V682" s="631"/>
      <c r="Y682" s="631">
        <v>122428.67</v>
      </c>
      <c r="Z682" s="631"/>
      <c r="AA682" s="631"/>
      <c r="AB682" s="631"/>
      <c r="AC682" s="631"/>
      <c r="AD682" s="631"/>
      <c r="AF682" s="627">
        <v>-243292.2</v>
      </c>
      <c r="AG682" s="627"/>
      <c r="AH682" s="627"/>
      <c r="AI682" s="627"/>
      <c r="AJ682" s="627"/>
      <c r="AK682" s="627"/>
      <c r="AL682" s="627"/>
    </row>
    <row r="683" spans="1:38" ht="11.1" customHeight="1" x14ac:dyDescent="0.25">
      <c r="A683" s="630" t="s">
        <v>4005</v>
      </c>
      <c r="B683" s="630"/>
      <c r="C683" s="630"/>
      <c r="M683" s="630" t="s">
        <v>2208</v>
      </c>
      <c r="N683" s="630"/>
      <c r="O683" s="630"/>
      <c r="P683" s="630"/>
      <c r="Q683" s="627">
        <v>-2239.02</v>
      </c>
      <c r="R683" s="627"/>
      <c r="T683" s="631">
        <v>2239.02</v>
      </c>
      <c r="U683" s="631"/>
      <c r="V683" s="631"/>
      <c r="Y683" s="631">
        <v>170.9</v>
      </c>
      <c r="Z683" s="631"/>
      <c r="AA683" s="631"/>
      <c r="AB683" s="631"/>
      <c r="AC683" s="631"/>
      <c r="AD683" s="631"/>
      <c r="AF683" s="627">
        <v>-170.9</v>
      </c>
      <c r="AG683" s="627"/>
      <c r="AH683" s="627"/>
      <c r="AI683" s="627"/>
      <c r="AJ683" s="627"/>
      <c r="AK683" s="627"/>
      <c r="AL683" s="627"/>
    </row>
    <row r="684" spans="1:38" ht="11.1" customHeight="1" x14ac:dyDescent="0.25">
      <c r="A684" s="630" t="s">
        <v>4006</v>
      </c>
      <c r="B684" s="630"/>
      <c r="C684" s="630"/>
      <c r="M684" s="630" t="s">
        <v>1065</v>
      </c>
      <c r="N684" s="630"/>
      <c r="O684" s="630"/>
      <c r="P684" s="630"/>
      <c r="Q684" s="627">
        <v>-247163.98</v>
      </c>
      <c r="R684" s="627"/>
      <c r="T684" s="631">
        <v>126300.45</v>
      </c>
      <c r="U684" s="631"/>
      <c r="V684" s="631"/>
      <c r="Y684" s="631">
        <v>122257.77</v>
      </c>
      <c r="Z684" s="631"/>
      <c r="AA684" s="631"/>
      <c r="AB684" s="631"/>
      <c r="AC684" s="631"/>
      <c r="AD684" s="631"/>
      <c r="AF684" s="627">
        <v>-243121.3</v>
      </c>
      <c r="AG684" s="627"/>
      <c r="AH684" s="627"/>
      <c r="AI684" s="627"/>
      <c r="AJ684" s="627"/>
      <c r="AK684" s="627"/>
      <c r="AL684" s="627"/>
    </row>
    <row r="685" spans="1:38" ht="11.1" customHeight="1" x14ac:dyDescent="0.25">
      <c r="A685" s="630" t="s">
        <v>4007</v>
      </c>
      <c r="B685" s="630"/>
      <c r="C685" s="630"/>
      <c r="L685" s="630" t="s">
        <v>302</v>
      </c>
      <c r="M685" s="630"/>
      <c r="N685" s="630"/>
      <c r="O685" s="630"/>
      <c r="P685" s="630"/>
      <c r="Q685" s="627">
        <v>-363</v>
      </c>
      <c r="R685" s="627"/>
      <c r="T685" s="631">
        <v>0</v>
      </c>
      <c r="U685" s="631"/>
      <c r="V685" s="631"/>
      <c r="Y685" s="631">
        <v>7003.31</v>
      </c>
      <c r="Z685" s="631"/>
      <c r="AA685" s="631"/>
      <c r="AB685" s="631"/>
      <c r="AC685" s="631"/>
      <c r="AD685" s="631"/>
      <c r="AF685" s="627">
        <v>-7366.31</v>
      </c>
      <c r="AG685" s="627"/>
      <c r="AH685" s="627"/>
      <c r="AI685" s="627"/>
      <c r="AJ685" s="627"/>
      <c r="AK685" s="627"/>
      <c r="AL685" s="627"/>
    </row>
    <row r="686" spans="1:38" ht="11.1" customHeight="1" x14ac:dyDescent="0.25">
      <c r="A686" s="630" t="s">
        <v>4008</v>
      </c>
      <c r="B686" s="630"/>
      <c r="C686" s="630"/>
      <c r="M686" s="630" t="s">
        <v>1071</v>
      </c>
      <c r="N686" s="630"/>
      <c r="O686" s="630"/>
      <c r="P686" s="630"/>
      <c r="Q686" s="627">
        <v>-363</v>
      </c>
      <c r="R686" s="627"/>
      <c r="T686" s="631">
        <v>0</v>
      </c>
      <c r="U686" s="631"/>
      <c r="V686" s="631"/>
      <c r="Y686" s="631">
        <v>7003.31</v>
      </c>
      <c r="Z686" s="631"/>
      <c r="AA686" s="631"/>
      <c r="AB686" s="631"/>
      <c r="AC686" s="631"/>
      <c r="AD686" s="631"/>
      <c r="AF686" s="627">
        <v>-7366.31</v>
      </c>
      <c r="AG686" s="627"/>
      <c r="AH686" s="627"/>
      <c r="AI686" s="627"/>
      <c r="AJ686" s="627"/>
      <c r="AK686" s="627"/>
      <c r="AL686" s="627"/>
    </row>
    <row r="687" spans="1:38" ht="11.1" customHeight="1" x14ac:dyDescent="0.25">
      <c r="A687" s="632" t="s">
        <v>4009</v>
      </c>
      <c r="B687" s="632"/>
      <c r="C687" s="632"/>
      <c r="I687" s="632" t="s">
        <v>463</v>
      </c>
      <c r="J687" s="632"/>
      <c r="K687" s="632"/>
      <c r="L687" s="632"/>
      <c r="M687" s="632"/>
      <c r="N687" s="632"/>
      <c r="O687" s="632"/>
      <c r="P687" s="632"/>
      <c r="Q687" s="633">
        <v>-4928.9799999999996</v>
      </c>
      <c r="R687" s="633"/>
      <c r="T687" s="634">
        <v>4053.58</v>
      </c>
      <c r="U687" s="634"/>
      <c r="V687" s="634"/>
      <c r="Y687" s="634">
        <v>13861.64</v>
      </c>
      <c r="Z687" s="634"/>
      <c r="AA687" s="634"/>
      <c r="AB687" s="634"/>
      <c r="AC687" s="634"/>
      <c r="AD687" s="634"/>
      <c r="AF687" s="633">
        <v>-14737.04</v>
      </c>
      <c r="AG687" s="633"/>
      <c r="AH687" s="633"/>
      <c r="AI687" s="633"/>
      <c r="AJ687" s="633"/>
      <c r="AK687" s="633"/>
      <c r="AL687" s="633"/>
    </row>
    <row r="688" spans="1:38" ht="11.1" customHeight="1" x14ac:dyDescent="0.25">
      <c r="A688" s="632" t="s">
        <v>4010</v>
      </c>
      <c r="B688" s="632"/>
      <c r="C688" s="632"/>
      <c r="J688" s="632" t="s">
        <v>1074</v>
      </c>
      <c r="K688" s="632"/>
      <c r="L688" s="632"/>
      <c r="M688" s="632"/>
      <c r="N688" s="632"/>
      <c r="O688" s="632"/>
      <c r="P688" s="632"/>
      <c r="Q688" s="633">
        <v>-4928.9799999999996</v>
      </c>
      <c r="R688" s="633"/>
      <c r="T688" s="634">
        <v>4053.58</v>
      </c>
      <c r="U688" s="634"/>
      <c r="V688" s="634"/>
      <c r="Y688" s="634">
        <v>13861.64</v>
      </c>
      <c r="Z688" s="634"/>
      <c r="AA688" s="634"/>
      <c r="AB688" s="634"/>
      <c r="AC688" s="634"/>
      <c r="AD688" s="634"/>
      <c r="AF688" s="633">
        <v>-14737.04</v>
      </c>
      <c r="AG688" s="633"/>
      <c r="AH688" s="633"/>
      <c r="AI688" s="633"/>
      <c r="AJ688" s="633"/>
      <c r="AK688" s="633"/>
      <c r="AL688" s="633"/>
    </row>
    <row r="689" spans="1:38" ht="11.1" customHeight="1" x14ac:dyDescent="0.25">
      <c r="A689" s="630" t="s">
        <v>4011</v>
      </c>
      <c r="B689" s="630"/>
      <c r="C689" s="630"/>
      <c r="L689" s="630" t="s">
        <v>335</v>
      </c>
      <c r="M689" s="630"/>
      <c r="N689" s="630"/>
      <c r="O689" s="630"/>
      <c r="P689" s="630"/>
      <c r="Q689" s="627">
        <v>-4053.58</v>
      </c>
      <c r="R689" s="627"/>
      <c r="T689" s="631">
        <v>4053.58</v>
      </c>
      <c r="U689" s="631"/>
      <c r="V689" s="631"/>
      <c r="Y689" s="631">
        <v>13711.44</v>
      </c>
      <c r="Z689" s="631"/>
      <c r="AA689" s="631"/>
      <c r="AB689" s="631"/>
      <c r="AC689" s="631"/>
      <c r="AD689" s="631"/>
      <c r="AF689" s="627">
        <v>-13711.44</v>
      </c>
      <c r="AG689" s="627"/>
      <c r="AH689" s="627"/>
      <c r="AI689" s="627"/>
      <c r="AJ689" s="627"/>
      <c r="AK689" s="627"/>
      <c r="AL689" s="627"/>
    </row>
    <row r="690" spans="1:38" ht="11.1" customHeight="1" x14ac:dyDescent="0.25">
      <c r="A690" s="630" t="s">
        <v>4012</v>
      </c>
      <c r="B690" s="630"/>
      <c r="C690" s="630"/>
      <c r="M690" s="630" t="s">
        <v>1077</v>
      </c>
      <c r="N690" s="630"/>
      <c r="O690" s="630"/>
      <c r="P690" s="630"/>
      <c r="Q690" s="627">
        <v>-3662.65</v>
      </c>
      <c r="R690" s="627"/>
      <c r="T690" s="631">
        <v>3662.65</v>
      </c>
      <c r="U690" s="631"/>
      <c r="V690" s="631"/>
      <c r="Y690" s="631">
        <v>13320.51</v>
      </c>
      <c r="Z690" s="631"/>
      <c r="AA690" s="631"/>
      <c r="AB690" s="631"/>
      <c r="AC690" s="631"/>
      <c r="AD690" s="631"/>
      <c r="AF690" s="627">
        <v>-13320.51</v>
      </c>
      <c r="AG690" s="627"/>
      <c r="AH690" s="627"/>
      <c r="AI690" s="627"/>
      <c r="AJ690" s="627"/>
      <c r="AK690" s="627"/>
      <c r="AL690" s="627"/>
    </row>
    <row r="691" spans="1:38" ht="11.1" customHeight="1" x14ac:dyDescent="0.25">
      <c r="A691" s="630" t="s">
        <v>4013</v>
      </c>
      <c r="B691" s="630"/>
      <c r="C691" s="630"/>
      <c r="M691" s="630" t="s">
        <v>1079</v>
      </c>
      <c r="N691" s="630"/>
      <c r="O691" s="630"/>
      <c r="P691" s="630"/>
      <c r="Q691" s="627">
        <v>-390.93</v>
      </c>
      <c r="R691" s="627"/>
      <c r="T691" s="631">
        <v>390.93</v>
      </c>
      <c r="U691" s="631"/>
      <c r="V691" s="631"/>
      <c r="Y691" s="631">
        <v>390.93</v>
      </c>
      <c r="Z691" s="631"/>
      <c r="AA691" s="631"/>
      <c r="AB691" s="631"/>
      <c r="AC691" s="631"/>
      <c r="AD691" s="631"/>
      <c r="AF691" s="627">
        <v>-390.93</v>
      </c>
      <c r="AG691" s="627"/>
      <c r="AH691" s="627"/>
      <c r="AI691" s="627"/>
      <c r="AJ691" s="627"/>
      <c r="AK691" s="627"/>
      <c r="AL691" s="627"/>
    </row>
    <row r="692" spans="1:38" ht="11.1" customHeight="1" x14ac:dyDescent="0.25">
      <c r="A692" s="630" t="s">
        <v>4014</v>
      </c>
      <c r="B692" s="630"/>
      <c r="C692" s="630"/>
      <c r="L692" s="630" t="s">
        <v>302</v>
      </c>
      <c r="M692" s="630"/>
      <c r="N692" s="630"/>
      <c r="O692" s="630"/>
      <c r="P692" s="630"/>
      <c r="Q692" s="627">
        <v>-875.4</v>
      </c>
      <c r="R692" s="627"/>
      <c r="T692" s="631">
        <v>0</v>
      </c>
      <c r="U692" s="631"/>
      <c r="V692" s="631"/>
      <c r="Y692" s="631">
        <v>150.19999999999999</v>
      </c>
      <c r="Z692" s="631"/>
      <c r="AA692" s="631"/>
      <c r="AB692" s="631"/>
      <c r="AC692" s="631"/>
      <c r="AD692" s="631"/>
      <c r="AF692" s="627">
        <v>-1025.5999999999999</v>
      </c>
      <c r="AG692" s="627"/>
      <c r="AH692" s="627"/>
      <c r="AI692" s="627"/>
      <c r="AJ692" s="627"/>
      <c r="AK692" s="627"/>
      <c r="AL692" s="627"/>
    </row>
    <row r="693" spans="1:38" ht="11.1" customHeight="1" x14ac:dyDescent="0.25">
      <c r="A693" s="630" t="s">
        <v>4015</v>
      </c>
      <c r="B693" s="630"/>
      <c r="C693" s="630"/>
      <c r="M693" s="630" t="s">
        <v>1082</v>
      </c>
      <c r="N693" s="630"/>
      <c r="O693" s="630"/>
      <c r="P693" s="630"/>
      <c r="Q693" s="627">
        <v>-875.4</v>
      </c>
      <c r="R693" s="627"/>
      <c r="T693" s="631">
        <v>0</v>
      </c>
      <c r="U693" s="631"/>
      <c r="V693" s="631"/>
      <c r="Y693" s="631">
        <v>150.19999999999999</v>
      </c>
      <c r="Z693" s="631"/>
      <c r="AA693" s="631"/>
      <c r="AB693" s="631"/>
      <c r="AC693" s="631"/>
      <c r="AD693" s="631"/>
      <c r="AF693" s="627">
        <v>-1025.5999999999999</v>
      </c>
      <c r="AG693" s="627"/>
      <c r="AH693" s="627"/>
      <c r="AI693" s="627"/>
      <c r="AJ693" s="627"/>
      <c r="AK693" s="627"/>
      <c r="AL693" s="627"/>
    </row>
    <row r="694" spans="1:38" ht="11.1" customHeight="1" x14ac:dyDescent="0.25">
      <c r="A694" s="632" t="s">
        <v>4016</v>
      </c>
      <c r="B694" s="632"/>
      <c r="C694" s="632"/>
      <c r="I694" s="632" t="s">
        <v>1085</v>
      </c>
      <c r="J694" s="632"/>
      <c r="K694" s="632"/>
      <c r="L694" s="632"/>
      <c r="M694" s="632"/>
      <c r="N694" s="632"/>
      <c r="O694" s="632"/>
      <c r="P694" s="632"/>
      <c r="Q694" s="633">
        <v>-108124.63</v>
      </c>
      <c r="R694" s="633"/>
      <c r="T694" s="634">
        <v>186388.57</v>
      </c>
      <c r="U694" s="634"/>
      <c r="V694" s="634"/>
      <c r="Y694" s="634">
        <v>202112.71</v>
      </c>
      <c r="Z694" s="634"/>
      <c r="AA694" s="634"/>
      <c r="AB694" s="634"/>
      <c r="AC694" s="634"/>
      <c r="AD694" s="634"/>
      <c r="AF694" s="633">
        <v>-123848.77</v>
      </c>
      <c r="AG694" s="633"/>
      <c r="AH694" s="633"/>
      <c r="AI694" s="633"/>
      <c r="AJ694" s="633"/>
      <c r="AK694" s="633"/>
      <c r="AL694" s="633"/>
    </row>
    <row r="695" spans="1:38" ht="11.1" customHeight="1" x14ac:dyDescent="0.25">
      <c r="A695" s="632" t="s">
        <v>4017</v>
      </c>
      <c r="B695" s="632"/>
      <c r="C695" s="632"/>
      <c r="J695" s="632" t="s">
        <v>995</v>
      </c>
      <c r="K695" s="632"/>
      <c r="L695" s="632"/>
      <c r="M695" s="632"/>
      <c r="N695" s="632"/>
      <c r="O695" s="632"/>
      <c r="P695" s="632"/>
      <c r="Q695" s="633">
        <v>-85170.46</v>
      </c>
      <c r="R695" s="633"/>
      <c r="T695" s="634">
        <v>163434.4</v>
      </c>
      <c r="U695" s="634"/>
      <c r="V695" s="634"/>
      <c r="Y695" s="634">
        <v>166019.75</v>
      </c>
      <c r="Z695" s="634"/>
      <c r="AA695" s="634"/>
      <c r="AB695" s="634"/>
      <c r="AC695" s="634"/>
      <c r="AD695" s="634"/>
      <c r="AF695" s="633">
        <v>-87755.81</v>
      </c>
      <c r="AG695" s="633"/>
      <c r="AH695" s="633"/>
      <c r="AI695" s="633"/>
      <c r="AJ695" s="633"/>
      <c r="AK695" s="633"/>
      <c r="AL695" s="633"/>
    </row>
    <row r="696" spans="1:38" ht="11.1" customHeight="1" x14ac:dyDescent="0.25">
      <c r="A696" s="630" t="s">
        <v>4018</v>
      </c>
      <c r="B696" s="630"/>
      <c r="C696" s="630"/>
      <c r="K696" s="630" t="s">
        <v>995</v>
      </c>
      <c r="L696" s="630"/>
      <c r="M696" s="630"/>
      <c r="N696" s="630"/>
      <c r="O696" s="630"/>
      <c r="P696" s="630"/>
      <c r="Q696" s="627">
        <v>-85170.46</v>
      </c>
      <c r="R696" s="627"/>
      <c r="T696" s="631">
        <v>163434.4</v>
      </c>
      <c r="U696" s="631"/>
      <c r="V696" s="631"/>
      <c r="Y696" s="631">
        <v>166019.75</v>
      </c>
      <c r="Z696" s="631"/>
      <c r="AA696" s="631"/>
      <c r="AB696" s="631"/>
      <c r="AC696" s="631"/>
      <c r="AD696" s="631"/>
      <c r="AF696" s="627">
        <v>-87755.81</v>
      </c>
      <c r="AG696" s="627"/>
      <c r="AH696" s="627"/>
      <c r="AI696" s="627"/>
      <c r="AJ696" s="627"/>
      <c r="AK696" s="627"/>
      <c r="AL696" s="627"/>
    </row>
    <row r="697" spans="1:38" ht="11.1" customHeight="1" x14ac:dyDescent="0.25">
      <c r="A697" s="630" t="s">
        <v>4019</v>
      </c>
      <c r="B697" s="630"/>
      <c r="C697" s="630"/>
      <c r="L697" s="630" t="s">
        <v>995</v>
      </c>
      <c r="M697" s="630"/>
      <c r="N697" s="630"/>
      <c r="O697" s="630"/>
      <c r="P697" s="630"/>
      <c r="Q697" s="627">
        <v>-85170.46</v>
      </c>
      <c r="R697" s="627"/>
      <c r="T697" s="631">
        <v>163434.4</v>
      </c>
      <c r="U697" s="631"/>
      <c r="V697" s="631"/>
      <c r="Y697" s="631">
        <v>166019.75</v>
      </c>
      <c r="Z697" s="631"/>
      <c r="AA697" s="631"/>
      <c r="AB697" s="631"/>
      <c r="AC697" s="631"/>
      <c r="AD697" s="631"/>
      <c r="AF697" s="627">
        <v>-87755.81</v>
      </c>
      <c r="AG697" s="627"/>
      <c r="AH697" s="627"/>
      <c r="AI697" s="627"/>
      <c r="AJ697" s="627"/>
      <c r="AK697" s="627"/>
      <c r="AL697" s="627"/>
    </row>
    <row r="698" spans="1:38" ht="11.1" customHeight="1" x14ac:dyDescent="0.25">
      <c r="A698" s="630" t="s">
        <v>4020</v>
      </c>
      <c r="B698" s="630"/>
      <c r="C698" s="630"/>
      <c r="M698" s="630" t="s">
        <v>1090</v>
      </c>
      <c r="N698" s="630"/>
      <c r="O698" s="630"/>
      <c r="P698" s="630"/>
      <c r="Q698" s="627">
        <v>-85170.46</v>
      </c>
      <c r="R698" s="627"/>
      <c r="T698" s="631">
        <v>163434.4</v>
      </c>
      <c r="U698" s="631"/>
      <c r="V698" s="631"/>
      <c r="Y698" s="631">
        <v>166019.75</v>
      </c>
      <c r="Z698" s="631"/>
      <c r="AA698" s="631"/>
      <c r="AB698" s="631"/>
      <c r="AC698" s="631"/>
      <c r="AD698" s="631"/>
      <c r="AF698" s="627">
        <v>-87755.81</v>
      </c>
      <c r="AG698" s="627"/>
      <c r="AH698" s="627"/>
      <c r="AI698" s="627"/>
      <c r="AJ698" s="627"/>
      <c r="AK698" s="627"/>
      <c r="AL698" s="627"/>
    </row>
    <row r="699" spans="1:38" ht="11.1" customHeight="1" x14ac:dyDescent="0.25">
      <c r="A699" s="632" t="s">
        <v>4021</v>
      </c>
      <c r="B699" s="632"/>
      <c r="C699" s="632"/>
      <c r="J699" s="632" t="s">
        <v>1092</v>
      </c>
      <c r="K699" s="632"/>
      <c r="L699" s="632"/>
      <c r="M699" s="632"/>
      <c r="N699" s="632"/>
      <c r="O699" s="632"/>
      <c r="P699" s="632"/>
      <c r="Q699" s="633">
        <v>-22954.17</v>
      </c>
      <c r="R699" s="633"/>
      <c r="T699" s="634">
        <v>22954.17</v>
      </c>
      <c r="U699" s="634"/>
      <c r="V699" s="634"/>
      <c r="Y699" s="634">
        <v>36092.959999999999</v>
      </c>
      <c r="Z699" s="634"/>
      <c r="AA699" s="634"/>
      <c r="AB699" s="634"/>
      <c r="AC699" s="634"/>
      <c r="AD699" s="634"/>
      <c r="AF699" s="633">
        <v>-36092.959999999999</v>
      </c>
      <c r="AG699" s="633"/>
      <c r="AH699" s="633"/>
      <c r="AI699" s="633"/>
      <c r="AJ699" s="633"/>
      <c r="AK699" s="633"/>
      <c r="AL699" s="633"/>
    </row>
    <row r="700" spans="1:38" ht="11.1" customHeight="1" x14ac:dyDescent="0.25">
      <c r="A700" s="630" t="s">
        <v>4022</v>
      </c>
      <c r="B700" s="630"/>
      <c r="C700" s="630"/>
      <c r="K700" s="630" t="s">
        <v>1092</v>
      </c>
      <c r="L700" s="630"/>
      <c r="M700" s="630"/>
      <c r="N700" s="630"/>
      <c r="O700" s="630"/>
      <c r="P700" s="630"/>
      <c r="Q700" s="627">
        <v>-22954.17</v>
      </c>
      <c r="R700" s="627"/>
      <c r="T700" s="631">
        <v>22954.17</v>
      </c>
      <c r="U700" s="631"/>
      <c r="V700" s="631"/>
      <c r="Y700" s="631">
        <v>36092.959999999999</v>
      </c>
      <c r="Z700" s="631"/>
      <c r="AA700" s="631"/>
      <c r="AB700" s="631"/>
      <c r="AC700" s="631"/>
      <c r="AD700" s="631"/>
      <c r="AF700" s="627">
        <v>-36092.959999999999</v>
      </c>
      <c r="AG700" s="627"/>
      <c r="AH700" s="627"/>
      <c r="AI700" s="627"/>
      <c r="AJ700" s="627"/>
      <c r="AK700" s="627"/>
      <c r="AL700" s="627"/>
    </row>
    <row r="701" spans="1:38" ht="11.1" customHeight="1" x14ac:dyDescent="0.25">
      <c r="A701" s="630" t="s">
        <v>4023</v>
      </c>
      <c r="B701" s="630"/>
      <c r="C701" s="630"/>
      <c r="L701" s="630" t="s">
        <v>1092</v>
      </c>
      <c r="M701" s="630"/>
      <c r="N701" s="630"/>
      <c r="O701" s="630"/>
      <c r="P701" s="630"/>
      <c r="Q701" s="627">
        <v>-22954.17</v>
      </c>
      <c r="R701" s="627"/>
      <c r="T701" s="631">
        <v>22954.17</v>
      </c>
      <c r="U701" s="631"/>
      <c r="V701" s="631"/>
      <c r="Y701" s="631">
        <v>36092.959999999999</v>
      </c>
      <c r="Z701" s="631"/>
      <c r="AA701" s="631"/>
      <c r="AB701" s="631"/>
      <c r="AC701" s="631"/>
      <c r="AD701" s="631"/>
      <c r="AF701" s="627">
        <v>-36092.959999999999</v>
      </c>
      <c r="AG701" s="627"/>
      <c r="AH701" s="627"/>
      <c r="AI701" s="627"/>
      <c r="AJ701" s="627"/>
      <c r="AK701" s="627"/>
      <c r="AL701" s="627"/>
    </row>
    <row r="702" spans="1:38" ht="11.1" customHeight="1" x14ac:dyDescent="0.25">
      <c r="A702" s="630" t="s">
        <v>4024</v>
      </c>
      <c r="B702" s="630"/>
      <c r="C702" s="630"/>
      <c r="M702" s="630" t="s">
        <v>1092</v>
      </c>
      <c r="N702" s="630"/>
      <c r="O702" s="630"/>
      <c r="P702" s="630"/>
      <c r="Q702" s="627">
        <v>-22954.17</v>
      </c>
      <c r="R702" s="627"/>
      <c r="T702" s="631">
        <v>22954.17</v>
      </c>
      <c r="U702" s="631"/>
      <c r="V702" s="631"/>
      <c r="Y702" s="631">
        <v>36092.959999999999</v>
      </c>
      <c r="Z702" s="631"/>
      <c r="AA702" s="631"/>
      <c r="AB702" s="631"/>
      <c r="AC702" s="631"/>
      <c r="AD702" s="631"/>
      <c r="AF702" s="627">
        <v>-36092.959999999999</v>
      </c>
      <c r="AG702" s="627"/>
      <c r="AH702" s="627"/>
      <c r="AI702" s="627"/>
      <c r="AJ702" s="627"/>
      <c r="AK702" s="627"/>
      <c r="AL702" s="627"/>
    </row>
    <row r="703" spans="1:38" ht="11.1" customHeight="1" x14ac:dyDescent="0.25">
      <c r="A703" s="632" t="s">
        <v>4025</v>
      </c>
      <c r="B703" s="632"/>
      <c r="C703" s="632"/>
      <c r="I703" s="632" t="s">
        <v>991</v>
      </c>
      <c r="J703" s="632"/>
      <c r="K703" s="632"/>
      <c r="L703" s="632"/>
      <c r="M703" s="632"/>
      <c r="N703" s="632"/>
      <c r="O703" s="632"/>
      <c r="P703" s="632"/>
      <c r="Q703" s="633">
        <v>-166520.57</v>
      </c>
      <c r="R703" s="633"/>
      <c r="T703" s="634">
        <v>160430.93</v>
      </c>
      <c r="U703" s="634"/>
      <c r="V703" s="634"/>
      <c r="Y703" s="634">
        <v>24626.41</v>
      </c>
      <c r="Z703" s="634"/>
      <c r="AA703" s="634"/>
      <c r="AB703" s="634"/>
      <c r="AC703" s="634"/>
      <c r="AD703" s="634"/>
      <c r="AF703" s="633">
        <v>-30716.05</v>
      </c>
      <c r="AG703" s="633"/>
      <c r="AH703" s="633"/>
      <c r="AI703" s="633"/>
      <c r="AJ703" s="633"/>
      <c r="AK703" s="633"/>
      <c r="AL703" s="633"/>
    </row>
    <row r="704" spans="1:38" ht="11.1" customHeight="1" x14ac:dyDescent="0.25">
      <c r="A704" s="632" t="s">
        <v>4026</v>
      </c>
      <c r="B704" s="632"/>
      <c r="C704" s="632"/>
      <c r="J704" s="632" t="s">
        <v>429</v>
      </c>
      <c r="K704" s="632"/>
      <c r="L704" s="632"/>
      <c r="M704" s="632"/>
      <c r="N704" s="632"/>
      <c r="O704" s="632"/>
      <c r="P704" s="632"/>
      <c r="Q704" s="633">
        <v>-147249.93</v>
      </c>
      <c r="R704" s="633"/>
      <c r="T704" s="634">
        <v>146427.04999999999</v>
      </c>
      <c r="U704" s="634"/>
      <c r="V704" s="634"/>
      <c r="Y704" s="634">
        <v>2908.22</v>
      </c>
      <c r="Z704" s="634"/>
      <c r="AA704" s="634"/>
      <c r="AB704" s="634"/>
      <c r="AC704" s="634"/>
      <c r="AD704" s="634"/>
      <c r="AF704" s="633">
        <v>-3731.1</v>
      </c>
      <c r="AG704" s="633"/>
      <c r="AH704" s="633"/>
      <c r="AI704" s="633"/>
      <c r="AJ704" s="633"/>
      <c r="AK704" s="633"/>
      <c r="AL704" s="633"/>
    </row>
    <row r="705" spans="1:38" ht="11.1" customHeight="1" x14ac:dyDescent="0.25">
      <c r="A705" s="630" t="s">
        <v>4027</v>
      </c>
      <c r="B705" s="630"/>
      <c r="C705" s="630"/>
      <c r="K705" s="630" t="s">
        <v>429</v>
      </c>
      <c r="L705" s="630"/>
      <c r="M705" s="630"/>
      <c r="N705" s="630"/>
      <c r="O705" s="630"/>
      <c r="P705" s="630"/>
      <c r="Q705" s="627">
        <v>-147249.93</v>
      </c>
      <c r="R705" s="627"/>
      <c r="T705" s="631">
        <v>146427.04999999999</v>
      </c>
      <c r="U705" s="631"/>
      <c r="V705" s="631"/>
      <c r="Y705" s="631">
        <v>2908.22</v>
      </c>
      <c r="Z705" s="631"/>
      <c r="AA705" s="631"/>
      <c r="AB705" s="631"/>
      <c r="AC705" s="631"/>
      <c r="AD705" s="631"/>
      <c r="AF705" s="627">
        <v>-3731.1</v>
      </c>
      <c r="AG705" s="627"/>
      <c r="AH705" s="627"/>
      <c r="AI705" s="627"/>
      <c r="AJ705" s="627"/>
      <c r="AK705" s="627"/>
      <c r="AL705" s="627"/>
    </row>
    <row r="706" spans="1:38" ht="11.1" customHeight="1" x14ac:dyDescent="0.25">
      <c r="A706" s="630" t="s">
        <v>4028</v>
      </c>
      <c r="B706" s="630"/>
      <c r="C706" s="630"/>
      <c r="L706" s="630" t="s">
        <v>429</v>
      </c>
      <c r="M706" s="630"/>
      <c r="N706" s="630"/>
      <c r="O706" s="630"/>
      <c r="P706" s="630"/>
      <c r="Q706" s="627">
        <v>-146223.74</v>
      </c>
      <c r="R706" s="627"/>
      <c r="T706" s="631">
        <v>146223.74</v>
      </c>
      <c r="U706" s="631"/>
      <c r="V706" s="631"/>
      <c r="Y706" s="631">
        <v>2908.22</v>
      </c>
      <c r="Z706" s="631"/>
      <c r="AA706" s="631"/>
      <c r="AB706" s="631"/>
      <c r="AC706" s="631"/>
      <c r="AD706" s="631"/>
      <c r="AF706" s="627">
        <v>-2908.22</v>
      </c>
      <c r="AG706" s="627"/>
      <c r="AH706" s="627"/>
      <c r="AI706" s="627"/>
      <c r="AJ706" s="627"/>
      <c r="AK706" s="627"/>
      <c r="AL706" s="627"/>
    </row>
    <row r="707" spans="1:38" ht="11.1" customHeight="1" x14ac:dyDescent="0.25">
      <c r="A707" s="630" t="s">
        <v>4029</v>
      </c>
      <c r="B707" s="630"/>
      <c r="C707" s="630"/>
      <c r="M707" s="630" t="s">
        <v>1101</v>
      </c>
      <c r="N707" s="630"/>
      <c r="O707" s="630"/>
      <c r="P707" s="630"/>
      <c r="Q707" s="627">
        <v>-3145.4</v>
      </c>
      <c r="R707" s="627"/>
      <c r="T707" s="631">
        <v>3145.4</v>
      </c>
      <c r="U707" s="631"/>
      <c r="V707" s="631"/>
      <c r="Y707" s="631">
        <v>2908.22</v>
      </c>
      <c r="Z707" s="631"/>
      <c r="AA707" s="631"/>
      <c r="AB707" s="631"/>
      <c r="AC707" s="631"/>
      <c r="AD707" s="631"/>
      <c r="AF707" s="627">
        <v>-2908.22</v>
      </c>
      <c r="AG707" s="627"/>
      <c r="AH707" s="627"/>
      <c r="AI707" s="627"/>
      <c r="AJ707" s="627"/>
      <c r="AK707" s="627"/>
      <c r="AL707" s="627"/>
    </row>
    <row r="708" spans="1:38" ht="11.1" customHeight="1" x14ac:dyDescent="0.25">
      <c r="A708" s="630" t="s">
        <v>4030</v>
      </c>
      <c r="B708" s="630"/>
      <c r="C708" s="630"/>
      <c r="M708" s="630" t="s">
        <v>1103</v>
      </c>
      <c r="N708" s="630"/>
      <c r="O708" s="630"/>
      <c r="P708" s="630"/>
      <c r="Q708" s="627">
        <v>-143078.34</v>
      </c>
      <c r="R708" s="627"/>
      <c r="T708" s="631">
        <v>143078.34</v>
      </c>
      <c r="U708" s="631"/>
      <c r="V708" s="631"/>
      <c r="Y708" s="631">
        <v>0</v>
      </c>
      <c r="Z708" s="631"/>
      <c r="AA708" s="631"/>
      <c r="AB708" s="631"/>
      <c r="AC708" s="631"/>
      <c r="AD708" s="631"/>
      <c r="AF708" s="627">
        <v>0</v>
      </c>
      <c r="AG708" s="627"/>
      <c r="AH708" s="627"/>
      <c r="AI708" s="627"/>
      <c r="AJ708" s="627"/>
      <c r="AK708" s="627"/>
      <c r="AL708" s="627"/>
    </row>
    <row r="709" spans="1:38" ht="11.1" customHeight="1" x14ac:dyDescent="0.25">
      <c r="A709" s="630" t="s">
        <v>4031</v>
      </c>
      <c r="B709" s="630"/>
      <c r="C709" s="630"/>
      <c r="L709" s="630" t="s">
        <v>302</v>
      </c>
      <c r="M709" s="630"/>
      <c r="N709" s="630"/>
      <c r="O709" s="630"/>
      <c r="P709" s="630"/>
      <c r="Q709" s="627">
        <v>-1026.19</v>
      </c>
      <c r="R709" s="627"/>
      <c r="T709" s="631">
        <v>203.31</v>
      </c>
      <c r="U709" s="631"/>
      <c r="V709" s="631"/>
      <c r="Y709" s="631">
        <v>0</v>
      </c>
      <c r="Z709" s="631"/>
      <c r="AA709" s="631"/>
      <c r="AB709" s="631"/>
      <c r="AC709" s="631"/>
      <c r="AD709" s="631"/>
      <c r="AF709" s="627">
        <v>-822.88</v>
      </c>
      <c r="AG709" s="627"/>
      <c r="AH709" s="627"/>
      <c r="AI709" s="627"/>
      <c r="AJ709" s="627"/>
      <c r="AK709" s="627"/>
      <c r="AL709" s="627"/>
    </row>
    <row r="710" spans="1:38" ht="11.1" customHeight="1" x14ac:dyDescent="0.25">
      <c r="A710" s="630" t="s">
        <v>4032</v>
      </c>
      <c r="B710" s="630"/>
      <c r="C710" s="630"/>
      <c r="M710" s="630" t="s">
        <v>1106</v>
      </c>
      <c r="N710" s="630"/>
      <c r="O710" s="630"/>
      <c r="P710" s="630"/>
      <c r="Q710" s="627">
        <v>-1026.19</v>
      </c>
      <c r="R710" s="627"/>
      <c r="T710" s="631">
        <v>203.31</v>
      </c>
      <c r="U710" s="631"/>
      <c r="V710" s="631"/>
      <c r="Y710" s="631">
        <v>0</v>
      </c>
      <c r="Z710" s="631"/>
      <c r="AA710" s="631"/>
      <c r="AB710" s="631"/>
      <c r="AC710" s="631"/>
      <c r="AD710" s="631"/>
      <c r="AF710" s="627">
        <v>-822.88</v>
      </c>
      <c r="AG710" s="627"/>
      <c r="AH710" s="627"/>
      <c r="AI710" s="627"/>
      <c r="AJ710" s="627"/>
      <c r="AK710" s="627"/>
      <c r="AL710" s="627"/>
    </row>
    <row r="711" spans="1:38" ht="11.1" customHeight="1" x14ac:dyDescent="0.25">
      <c r="A711" s="632" t="s">
        <v>4033</v>
      </c>
      <c r="B711" s="632"/>
      <c r="C711" s="632"/>
      <c r="J711" s="632" t="s">
        <v>331</v>
      </c>
      <c r="K711" s="632"/>
      <c r="L711" s="632"/>
      <c r="M711" s="632"/>
      <c r="N711" s="632"/>
      <c r="O711" s="632"/>
      <c r="P711" s="632"/>
      <c r="Q711" s="633">
        <v>-19270.64</v>
      </c>
      <c r="R711" s="633"/>
      <c r="T711" s="634">
        <v>14003.88</v>
      </c>
      <c r="U711" s="634"/>
      <c r="V711" s="634"/>
      <c r="Y711" s="634">
        <v>21718.19</v>
      </c>
      <c r="Z711" s="634"/>
      <c r="AA711" s="634"/>
      <c r="AB711" s="634"/>
      <c r="AC711" s="634"/>
      <c r="AD711" s="634"/>
      <c r="AF711" s="633">
        <v>-26984.95</v>
      </c>
      <c r="AG711" s="633"/>
      <c r="AH711" s="633"/>
      <c r="AI711" s="633"/>
      <c r="AJ711" s="633"/>
      <c r="AK711" s="633"/>
      <c r="AL711" s="633"/>
    </row>
    <row r="712" spans="1:38" ht="11.1" customHeight="1" x14ac:dyDescent="0.25">
      <c r="A712" s="630" t="s">
        <v>4034</v>
      </c>
      <c r="B712" s="630"/>
      <c r="C712" s="630"/>
      <c r="K712" s="630" t="s">
        <v>331</v>
      </c>
      <c r="L712" s="630"/>
      <c r="M712" s="630"/>
      <c r="N712" s="630"/>
      <c r="O712" s="630"/>
      <c r="P712" s="630"/>
      <c r="Q712" s="627">
        <v>-19270.64</v>
      </c>
      <c r="R712" s="627"/>
      <c r="T712" s="631">
        <v>14003.88</v>
      </c>
      <c r="U712" s="631"/>
      <c r="V712" s="631"/>
      <c r="Y712" s="631">
        <v>21718.19</v>
      </c>
      <c r="Z712" s="631"/>
      <c r="AA712" s="631"/>
      <c r="AB712" s="631"/>
      <c r="AC712" s="631"/>
      <c r="AD712" s="631"/>
      <c r="AF712" s="627">
        <v>-26984.95</v>
      </c>
      <c r="AG712" s="627"/>
      <c r="AH712" s="627"/>
      <c r="AI712" s="627"/>
      <c r="AJ712" s="627"/>
      <c r="AK712" s="627"/>
      <c r="AL712" s="627"/>
    </row>
    <row r="713" spans="1:38" ht="11.1" customHeight="1" x14ac:dyDescent="0.25">
      <c r="A713" s="630" t="s">
        <v>4035</v>
      </c>
      <c r="B713" s="630"/>
      <c r="C713" s="630"/>
      <c r="L713" s="630" t="s">
        <v>335</v>
      </c>
      <c r="M713" s="630"/>
      <c r="N713" s="630"/>
      <c r="O713" s="630"/>
      <c r="P713" s="630"/>
      <c r="Q713" s="627">
        <v>-14003.87</v>
      </c>
      <c r="R713" s="627"/>
      <c r="T713" s="631">
        <v>14003.87</v>
      </c>
      <c r="U713" s="631"/>
      <c r="V713" s="631"/>
      <c r="Y713" s="631">
        <v>18120.63</v>
      </c>
      <c r="Z713" s="631"/>
      <c r="AA713" s="631"/>
      <c r="AB713" s="631"/>
      <c r="AC713" s="631"/>
      <c r="AD713" s="631"/>
      <c r="AF713" s="627">
        <v>-18120.63</v>
      </c>
      <c r="AG713" s="627"/>
      <c r="AH713" s="627"/>
      <c r="AI713" s="627"/>
      <c r="AJ713" s="627"/>
      <c r="AK713" s="627"/>
      <c r="AL713" s="627"/>
    </row>
    <row r="714" spans="1:38" ht="11.1" customHeight="1" x14ac:dyDescent="0.25">
      <c r="A714" s="630" t="s">
        <v>4036</v>
      </c>
      <c r="B714" s="630"/>
      <c r="C714" s="630"/>
      <c r="M714" s="630" t="s">
        <v>1111</v>
      </c>
      <c r="N714" s="630"/>
      <c r="O714" s="630"/>
      <c r="P714" s="630"/>
      <c r="Q714" s="627">
        <v>-9761.92</v>
      </c>
      <c r="R714" s="627"/>
      <c r="T714" s="631">
        <v>9761.92</v>
      </c>
      <c r="U714" s="631"/>
      <c r="V714" s="631"/>
      <c r="Y714" s="631">
        <v>8964.25</v>
      </c>
      <c r="Z714" s="631"/>
      <c r="AA714" s="631"/>
      <c r="AB714" s="631"/>
      <c r="AC714" s="631"/>
      <c r="AD714" s="631"/>
      <c r="AF714" s="627">
        <v>-8964.25</v>
      </c>
      <c r="AG714" s="627"/>
      <c r="AH714" s="627"/>
      <c r="AI714" s="627"/>
      <c r="AJ714" s="627"/>
      <c r="AK714" s="627"/>
      <c r="AL714" s="627"/>
    </row>
    <row r="715" spans="1:38" ht="11.1" customHeight="1" x14ac:dyDescent="0.25">
      <c r="A715" s="630" t="s">
        <v>4037</v>
      </c>
      <c r="B715" s="630"/>
      <c r="C715" s="630"/>
      <c r="M715" s="630" t="s">
        <v>1113</v>
      </c>
      <c r="N715" s="630"/>
      <c r="O715" s="630"/>
      <c r="P715" s="630"/>
      <c r="Q715" s="627">
        <v>-4241.95</v>
      </c>
      <c r="R715" s="627"/>
      <c r="T715" s="631">
        <v>4241.95</v>
      </c>
      <c r="U715" s="631"/>
      <c r="V715" s="631"/>
      <c r="Y715" s="631">
        <v>9156.3799999999992</v>
      </c>
      <c r="Z715" s="631"/>
      <c r="AA715" s="631"/>
      <c r="AB715" s="631"/>
      <c r="AC715" s="631"/>
      <c r="AD715" s="631"/>
      <c r="AF715" s="627">
        <v>-9156.3799999999992</v>
      </c>
      <c r="AG715" s="627"/>
      <c r="AH715" s="627"/>
      <c r="AI715" s="627"/>
      <c r="AJ715" s="627"/>
      <c r="AK715" s="627"/>
      <c r="AL715" s="627"/>
    </row>
    <row r="716" spans="1:38" ht="11.1" customHeight="1" x14ac:dyDescent="0.25">
      <c r="A716" s="630" t="s">
        <v>4038</v>
      </c>
      <c r="B716" s="630"/>
      <c r="C716" s="630"/>
      <c r="L716" s="630" t="s">
        <v>302</v>
      </c>
      <c r="M716" s="630"/>
      <c r="N716" s="630"/>
      <c r="O716" s="630"/>
      <c r="P716" s="630"/>
      <c r="Q716" s="627">
        <v>-5266.77</v>
      </c>
      <c r="R716" s="627"/>
      <c r="T716" s="631">
        <v>0.01</v>
      </c>
      <c r="U716" s="631"/>
      <c r="V716" s="631"/>
      <c r="Y716" s="631">
        <v>3597.56</v>
      </c>
      <c r="Z716" s="631"/>
      <c r="AA716" s="631"/>
      <c r="AB716" s="631"/>
      <c r="AC716" s="631"/>
      <c r="AD716" s="631"/>
      <c r="AF716" s="627">
        <v>-8864.32</v>
      </c>
      <c r="AG716" s="627"/>
      <c r="AH716" s="627"/>
      <c r="AI716" s="627"/>
      <c r="AJ716" s="627"/>
      <c r="AK716" s="627"/>
      <c r="AL716" s="627"/>
    </row>
    <row r="717" spans="1:38" ht="11.1" customHeight="1" x14ac:dyDescent="0.25">
      <c r="A717" s="630" t="s">
        <v>4039</v>
      </c>
      <c r="B717" s="630"/>
      <c r="C717" s="630"/>
      <c r="M717" s="630" t="s">
        <v>1113</v>
      </c>
      <c r="N717" s="630"/>
      <c r="O717" s="630"/>
      <c r="P717" s="630"/>
      <c r="Q717" s="627">
        <v>-1391.52</v>
      </c>
      <c r="R717" s="627"/>
      <c r="T717" s="631">
        <v>0</v>
      </c>
      <c r="U717" s="631"/>
      <c r="V717" s="631"/>
      <c r="Y717" s="631">
        <v>235.39</v>
      </c>
      <c r="Z717" s="631"/>
      <c r="AA717" s="631"/>
      <c r="AB717" s="631"/>
      <c r="AC717" s="631"/>
      <c r="AD717" s="631"/>
      <c r="AF717" s="627">
        <v>-1626.91</v>
      </c>
      <c r="AG717" s="627"/>
      <c r="AH717" s="627"/>
      <c r="AI717" s="627"/>
      <c r="AJ717" s="627"/>
      <c r="AK717" s="627"/>
      <c r="AL717" s="627"/>
    </row>
    <row r="718" spans="1:38" ht="11.1" customHeight="1" x14ac:dyDescent="0.25">
      <c r="A718" s="630" t="s">
        <v>4040</v>
      </c>
      <c r="B718" s="630"/>
      <c r="C718" s="630"/>
      <c r="M718" s="630" t="s">
        <v>1117</v>
      </c>
      <c r="N718" s="630"/>
      <c r="O718" s="630"/>
      <c r="P718" s="630"/>
      <c r="Q718" s="627">
        <v>-3875.25</v>
      </c>
      <c r="R718" s="627"/>
      <c r="T718" s="631">
        <v>0.01</v>
      </c>
      <c r="U718" s="631"/>
      <c r="V718" s="631"/>
      <c r="Y718" s="631">
        <v>2176.44</v>
      </c>
      <c r="Z718" s="631"/>
      <c r="AA718" s="631"/>
      <c r="AB718" s="631"/>
      <c r="AC718" s="631"/>
      <c r="AD718" s="631"/>
      <c r="AF718" s="627">
        <v>-6051.68</v>
      </c>
      <c r="AG718" s="627"/>
      <c r="AH718" s="627"/>
      <c r="AI718" s="627"/>
      <c r="AJ718" s="627"/>
      <c r="AK718" s="627"/>
      <c r="AL718" s="627"/>
    </row>
    <row r="719" spans="1:38" ht="11.1" customHeight="1" x14ac:dyDescent="0.25">
      <c r="A719" s="630" t="s">
        <v>4041</v>
      </c>
      <c r="B719" s="630"/>
      <c r="C719" s="630"/>
      <c r="M719" s="630" t="s">
        <v>2912</v>
      </c>
      <c r="N719" s="630"/>
      <c r="O719" s="630"/>
      <c r="P719" s="630"/>
      <c r="Q719" s="627">
        <v>0</v>
      </c>
      <c r="R719" s="627"/>
      <c r="T719" s="631">
        <v>0</v>
      </c>
      <c r="U719" s="631"/>
      <c r="V719" s="631"/>
      <c r="Y719" s="631">
        <v>1185.73</v>
      </c>
      <c r="Z719" s="631"/>
      <c r="AA719" s="631"/>
      <c r="AB719" s="631"/>
      <c r="AC719" s="631"/>
      <c r="AD719" s="631"/>
      <c r="AF719" s="627">
        <v>-1185.73</v>
      </c>
      <c r="AG719" s="627"/>
      <c r="AH719" s="627"/>
      <c r="AI719" s="627"/>
      <c r="AJ719" s="627"/>
      <c r="AK719" s="627"/>
      <c r="AL719" s="627"/>
    </row>
    <row r="720" spans="1:38" ht="11.1" customHeight="1" x14ac:dyDescent="0.25">
      <c r="A720" s="632" t="s">
        <v>4042</v>
      </c>
      <c r="B720" s="632"/>
      <c r="C720" s="632"/>
      <c r="H720" s="632" t="s">
        <v>2468</v>
      </c>
      <c r="I720" s="632"/>
      <c r="J720" s="632"/>
      <c r="K720" s="632"/>
      <c r="L720" s="632"/>
      <c r="M720" s="632"/>
      <c r="N720" s="632"/>
      <c r="O720" s="632"/>
      <c r="P720" s="632"/>
      <c r="Q720" s="633">
        <v>0</v>
      </c>
      <c r="R720" s="633"/>
      <c r="T720" s="634">
        <v>11536000.539999999</v>
      </c>
      <c r="U720" s="634"/>
      <c r="V720" s="634"/>
      <c r="Y720" s="634">
        <v>11536000.539999999</v>
      </c>
      <c r="Z720" s="634"/>
      <c r="AA720" s="634"/>
      <c r="AB720" s="634"/>
      <c r="AC720" s="634"/>
      <c r="AD720" s="634"/>
      <c r="AF720" s="633">
        <v>0</v>
      </c>
      <c r="AG720" s="633"/>
      <c r="AH720" s="633"/>
      <c r="AI720" s="633"/>
      <c r="AJ720" s="633"/>
      <c r="AK720" s="633"/>
      <c r="AL720" s="633"/>
    </row>
    <row r="721" spans="1:38" ht="11.1" customHeight="1" x14ac:dyDescent="0.25">
      <c r="A721" s="632" t="s">
        <v>4043</v>
      </c>
      <c r="B721" s="632"/>
      <c r="C721" s="632"/>
      <c r="I721" s="632" t="s">
        <v>2470</v>
      </c>
      <c r="J721" s="632"/>
      <c r="K721" s="632"/>
      <c r="L721" s="632"/>
      <c r="M721" s="632"/>
      <c r="N721" s="632"/>
      <c r="O721" s="632"/>
      <c r="P721" s="632"/>
      <c r="Q721" s="633">
        <v>0</v>
      </c>
      <c r="R721" s="633"/>
      <c r="T721" s="634">
        <v>11536000.539999999</v>
      </c>
      <c r="U721" s="634"/>
      <c r="V721" s="634"/>
      <c r="Y721" s="634">
        <v>11536000.539999999</v>
      </c>
      <c r="Z721" s="634"/>
      <c r="AA721" s="634"/>
      <c r="AB721" s="634"/>
      <c r="AC721" s="634"/>
      <c r="AD721" s="634"/>
      <c r="AF721" s="633">
        <v>0</v>
      </c>
      <c r="AG721" s="633"/>
      <c r="AH721" s="633"/>
      <c r="AI721" s="633"/>
      <c r="AJ721" s="633"/>
      <c r="AK721" s="633"/>
      <c r="AL721" s="633"/>
    </row>
    <row r="722" spans="1:38" ht="11.1" customHeight="1" x14ac:dyDescent="0.25">
      <c r="A722" s="630" t="s">
        <v>4044</v>
      </c>
      <c r="B722" s="630"/>
      <c r="C722" s="630"/>
      <c r="M722" s="630" t="s">
        <v>2472</v>
      </c>
      <c r="N722" s="630"/>
      <c r="O722" s="630"/>
      <c r="P722" s="630"/>
      <c r="Q722" s="627">
        <v>0</v>
      </c>
      <c r="R722" s="627"/>
      <c r="T722" s="631">
        <v>11536000.539999999</v>
      </c>
      <c r="U722" s="631"/>
      <c r="V722" s="631"/>
      <c r="Y722" s="631">
        <v>11536000.539999999</v>
      </c>
      <c r="Z722" s="631"/>
      <c r="AA722" s="631"/>
      <c r="AB722" s="631"/>
      <c r="AC722" s="631"/>
      <c r="AD722" s="631"/>
      <c r="AF722" s="627">
        <v>0</v>
      </c>
      <c r="AG722" s="627"/>
      <c r="AH722" s="627"/>
      <c r="AI722" s="627"/>
      <c r="AJ722" s="627"/>
      <c r="AK722" s="627"/>
      <c r="AL722" s="627"/>
    </row>
    <row r="723" spans="1:38" ht="11.1" customHeight="1" x14ac:dyDescent="0.25">
      <c r="A723" s="632" t="s">
        <v>4045</v>
      </c>
      <c r="B723" s="632"/>
      <c r="C723" s="632"/>
      <c r="H723" s="632" t="s">
        <v>1120</v>
      </c>
      <c r="I723" s="632"/>
      <c r="J723" s="632"/>
      <c r="K723" s="632"/>
      <c r="L723" s="632"/>
      <c r="M723" s="632"/>
      <c r="N723" s="632"/>
      <c r="O723" s="632"/>
      <c r="P723" s="632"/>
      <c r="Q723" s="633">
        <v>-152559.82</v>
      </c>
      <c r="R723" s="633"/>
      <c r="T723" s="634">
        <v>29014.15</v>
      </c>
      <c r="U723" s="634"/>
      <c r="V723" s="634"/>
      <c r="Y723" s="634">
        <v>57354.46</v>
      </c>
      <c r="Z723" s="634"/>
      <c r="AA723" s="634"/>
      <c r="AB723" s="634"/>
      <c r="AC723" s="634"/>
      <c r="AD723" s="634"/>
      <c r="AF723" s="633">
        <v>-180900.13</v>
      </c>
      <c r="AG723" s="633"/>
      <c r="AH723" s="633"/>
      <c r="AI723" s="633"/>
      <c r="AJ723" s="633"/>
      <c r="AK723" s="633"/>
      <c r="AL723" s="633"/>
    </row>
    <row r="724" spans="1:38" ht="11.1" customHeight="1" x14ac:dyDescent="0.25">
      <c r="A724" s="632" t="s">
        <v>4046</v>
      </c>
      <c r="B724" s="632"/>
      <c r="C724" s="632"/>
      <c r="I724" s="632" t="s">
        <v>1122</v>
      </c>
      <c r="J724" s="632"/>
      <c r="K724" s="632"/>
      <c r="L724" s="632"/>
      <c r="M724" s="632"/>
      <c r="N724" s="632"/>
      <c r="O724" s="632"/>
      <c r="P724" s="632"/>
      <c r="Q724" s="633">
        <v>-142776.88</v>
      </c>
      <c r="R724" s="633"/>
      <c r="T724" s="634">
        <v>25376.52</v>
      </c>
      <c r="U724" s="634"/>
      <c r="V724" s="634"/>
      <c r="Y724" s="634">
        <v>26813.200000000001</v>
      </c>
      <c r="Z724" s="634"/>
      <c r="AA724" s="634"/>
      <c r="AB724" s="634"/>
      <c r="AC724" s="634"/>
      <c r="AD724" s="634"/>
      <c r="AF724" s="633">
        <v>-144213.56</v>
      </c>
      <c r="AG724" s="633"/>
      <c r="AH724" s="633"/>
      <c r="AI724" s="633"/>
      <c r="AJ724" s="633"/>
      <c r="AK724" s="633"/>
      <c r="AL724" s="633"/>
    </row>
    <row r="725" spans="1:38" ht="11.1" customHeight="1" x14ac:dyDescent="0.25">
      <c r="A725" s="632" t="s">
        <v>4047</v>
      </c>
      <c r="B725" s="632"/>
      <c r="C725" s="632"/>
      <c r="J725" s="632" t="s">
        <v>1124</v>
      </c>
      <c r="K725" s="632"/>
      <c r="L725" s="632"/>
      <c r="M725" s="632"/>
      <c r="N725" s="632"/>
      <c r="O725" s="632"/>
      <c r="P725" s="632"/>
      <c r="Q725" s="633">
        <v>-33653.300000000003</v>
      </c>
      <c r="R725" s="633"/>
      <c r="T725" s="634">
        <v>16917.68</v>
      </c>
      <c r="U725" s="634"/>
      <c r="V725" s="634"/>
      <c r="Y725" s="634">
        <v>16567.36</v>
      </c>
      <c r="Z725" s="634"/>
      <c r="AA725" s="634"/>
      <c r="AB725" s="634"/>
      <c r="AC725" s="634"/>
      <c r="AD725" s="634"/>
      <c r="AF725" s="633">
        <v>-33302.980000000003</v>
      </c>
      <c r="AG725" s="633"/>
      <c r="AH725" s="633"/>
      <c r="AI725" s="633"/>
      <c r="AJ725" s="633"/>
      <c r="AK725" s="633"/>
      <c r="AL725" s="633"/>
    </row>
    <row r="726" spans="1:38" ht="11.1" customHeight="1" x14ac:dyDescent="0.25">
      <c r="A726" s="630" t="s">
        <v>4048</v>
      </c>
      <c r="B726" s="630"/>
      <c r="C726" s="630"/>
      <c r="K726" s="630" t="s">
        <v>1126</v>
      </c>
      <c r="L726" s="630"/>
      <c r="M726" s="630"/>
      <c r="N726" s="630"/>
      <c r="O726" s="630"/>
      <c r="P726" s="630"/>
      <c r="Q726" s="627">
        <v>-33653.300000000003</v>
      </c>
      <c r="R726" s="627"/>
      <c r="T726" s="631">
        <v>16917.68</v>
      </c>
      <c r="U726" s="631"/>
      <c r="V726" s="631"/>
      <c r="Y726" s="631">
        <v>16567.36</v>
      </c>
      <c r="Z726" s="631"/>
      <c r="AA726" s="631"/>
      <c r="AB726" s="631"/>
      <c r="AC726" s="631"/>
      <c r="AD726" s="631"/>
      <c r="AF726" s="627">
        <v>-33302.980000000003</v>
      </c>
      <c r="AG726" s="627"/>
      <c r="AH726" s="627"/>
      <c r="AI726" s="627"/>
      <c r="AJ726" s="627"/>
      <c r="AK726" s="627"/>
      <c r="AL726" s="627"/>
    </row>
    <row r="727" spans="1:38" ht="11.1" customHeight="1" x14ac:dyDescent="0.25">
      <c r="A727" s="630" t="s">
        <v>4049</v>
      </c>
      <c r="B727" s="630"/>
      <c r="C727" s="630"/>
      <c r="L727" s="630" t="s">
        <v>302</v>
      </c>
      <c r="M727" s="630"/>
      <c r="N727" s="630"/>
      <c r="O727" s="630"/>
      <c r="P727" s="630"/>
      <c r="Q727" s="627">
        <v>-30080.05</v>
      </c>
      <c r="R727" s="627"/>
      <c r="T727" s="631">
        <v>15104.65</v>
      </c>
      <c r="U727" s="631"/>
      <c r="V727" s="631"/>
      <c r="Y727" s="631">
        <v>14754.08</v>
      </c>
      <c r="Z727" s="631"/>
      <c r="AA727" s="631"/>
      <c r="AB727" s="631"/>
      <c r="AC727" s="631"/>
      <c r="AD727" s="631"/>
      <c r="AF727" s="627">
        <v>-29729.48</v>
      </c>
      <c r="AG727" s="627"/>
      <c r="AH727" s="627"/>
      <c r="AI727" s="627"/>
      <c r="AJ727" s="627"/>
      <c r="AK727" s="627"/>
      <c r="AL727" s="627"/>
    </row>
    <row r="728" spans="1:38" ht="11.1" customHeight="1" x14ac:dyDescent="0.25">
      <c r="A728" s="630" t="s">
        <v>4050</v>
      </c>
      <c r="B728" s="630"/>
      <c r="C728" s="630"/>
      <c r="M728" s="630" t="s">
        <v>1129</v>
      </c>
      <c r="N728" s="630"/>
      <c r="O728" s="630"/>
      <c r="P728" s="630"/>
      <c r="Q728" s="627">
        <v>-30080.05</v>
      </c>
      <c r="R728" s="627"/>
      <c r="T728" s="631">
        <v>15104.65</v>
      </c>
      <c r="U728" s="631"/>
      <c r="V728" s="631"/>
      <c r="Y728" s="631">
        <v>14754.08</v>
      </c>
      <c r="Z728" s="631"/>
      <c r="AA728" s="631"/>
      <c r="AB728" s="631"/>
      <c r="AC728" s="631"/>
      <c r="AD728" s="631"/>
      <c r="AF728" s="627">
        <v>-29729.48</v>
      </c>
      <c r="AG728" s="627"/>
      <c r="AH728" s="627"/>
      <c r="AI728" s="627"/>
      <c r="AJ728" s="627"/>
      <c r="AK728" s="627"/>
      <c r="AL728" s="627"/>
    </row>
    <row r="729" spans="1:38" ht="11.1" customHeight="1" x14ac:dyDescent="0.25">
      <c r="A729" s="630" t="s">
        <v>4051</v>
      </c>
      <c r="B729" s="630"/>
      <c r="C729" s="630"/>
      <c r="L729" s="630" t="s">
        <v>591</v>
      </c>
      <c r="M729" s="630"/>
      <c r="N729" s="630"/>
      <c r="O729" s="630"/>
      <c r="P729" s="630"/>
      <c r="Q729" s="627">
        <v>-3573.25</v>
      </c>
      <c r="R729" s="627"/>
      <c r="T729" s="631">
        <v>1813.03</v>
      </c>
      <c r="U729" s="631"/>
      <c r="V729" s="631"/>
      <c r="Y729" s="631">
        <v>1813.28</v>
      </c>
      <c r="Z729" s="631"/>
      <c r="AA729" s="631"/>
      <c r="AB729" s="631"/>
      <c r="AC729" s="631"/>
      <c r="AD729" s="631"/>
      <c r="AF729" s="627">
        <v>-3573.5</v>
      </c>
      <c r="AG729" s="627"/>
      <c r="AH729" s="627"/>
      <c r="AI729" s="627"/>
      <c r="AJ729" s="627"/>
      <c r="AK729" s="627"/>
      <c r="AL729" s="627"/>
    </row>
    <row r="730" spans="1:38" ht="11.1" customHeight="1" x14ac:dyDescent="0.25">
      <c r="A730" s="630" t="s">
        <v>4052</v>
      </c>
      <c r="B730" s="630"/>
      <c r="C730" s="630"/>
      <c r="M730" s="630" t="s">
        <v>1132</v>
      </c>
      <c r="N730" s="630"/>
      <c r="O730" s="630"/>
      <c r="P730" s="630"/>
      <c r="Q730" s="627">
        <v>-3573.25</v>
      </c>
      <c r="R730" s="627"/>
      <c r="T730" s="631">
        <v>1813.03</v>
      </c>
      <c r="U730" s="631"/>
      <c r="V730" s="631"/>
      <c r="Y730" s="631">
        <v>1813.28</v>
      </c>
      <c r="Z730" s="631"/>
      <c r="AA730" s="631"/>
      <c r="AB730" s="631"/>
      <c r="AC730" s="631"/>
      <c r="AD730" s="631"/>
      <c r="AF730" s="627">
        <v>-3573.5</v>
      </c>
      <c r="AG730" s="627"/>
      <c r="AH730" s="627"/>
      <c r="AI730" s="627"/>
      <c r="AJ730" s="627"/>
      <c r="AK730" s="627"/>
      <c r="AL730" s="627"/>
    </row>
    <row r="731" spans="1:38" ht="11.1" customHeight="1" x14ac:dyDescent="0.25">
      <c r="A731" s="632" t="s">
        <v>4053</v>
      </c>
      <c r="B731" s="632"/>
      <c r="C731" s="632"/>
      <c r="J731" s="632" t="s">
        <v>1134</v>
      </c>
      <c r="K731" s="632"/>
      <c r="L731" s="632"/>
      <c r="M731" s="632"/>
      <c r="N731" s="632"/>
      <c r="O731" s="632"/>
      <c r="P731" s="632"/>
      <c r="Q731" s="633">
        <v>-16826.650000000001</v>
      </c>
      <c r="R731" s="633"/>
      <c r="T731" s="634">
        <v>8458.84</v>
      </c>
      <c r="U731" s="634"/>
      <c r="V731" s="634"/>
      <c r="Y731" s="634">
        <v>8283.68</v>
      </c>
      <c r="Z731" s="634"/>
      <c r="AA731" s="634"/>
      <c r="AB731" s="634"/>
      <c r="AC731" s="634"/>
      <c r="AD731" s="634"/>
      <c r="AF731" s="633">
        <v>-16651.490000000002</v>
      </c>
      <c r="AG731" s="633"/>
      <c r="AH731" s="633"/>
      <c r="AI731" s="633"/>
      <c r="AJ731" s="633"/>
      <c r="AK731" s="633"/>
      <c r="AL731" s="633"/>
    </row>
    <row r="732" spans="1:38" ht="11.1" customHeight="1" x14ac:dyDescent="0.25">
      <c r="A732" s="630" t="s">
        <v>4054</v>
      </c>
      <c r="B732" s="630"/>
      <c r="C732" s="630"/>
      <c r="K732" s="630" t="s">
        <v>1134</v>
      </c>
      <c r="L732" s="630"/>
      <c r="M732" s="630"/>
      <c r="N732" s="630"/>
      <c r="O732" s="630"/>
      <c r="P732" s="630"/>
      <c r="Q732" s="627">
        <v>-16826.650000000001</v>
      </c>
      <c r="R732" s="627"/>
      <c r="T732" s="631">
        <v>8458.84</v>
      </c>
      <c r="U732" s="631"/>
      <c r="V732" s="631"/>
      <c r="Y732" s="631">
        <v>8283.68</v>
      </c>
      <c r="Z732" s="631"/>
      <c r="AA732" s="631"/>
      <c r="AB732" s="631"/>
      <c r="AC732" s="631"/>
      <c r="AD732" s="631"/>
      <c r="AF732" s="627">
        <v>-16651.490000000002</v>
      </c>
      <c r="AG732" s="627"/>
      <c r="AH732" s="627"/>
      <c r="AI732" s="627"/>
      <c r="AJ732" s="627"/>
      <c r="AK732" s="627"/>
      <c r="AL732" s="627"/>
    </row>
    <row r="733" spans="1:38" ht="11.1" customHeight="1" x14ac:dyDescent="0.25">
      <c r="A733" s="630" t="s">
        <v>4055</v>
      </c>
      <c r="B733" s="630"/>
      <c r="C733" s="630"/>
      <c r="L733" s="630" t="s">
        <v>302</v>
      </c>
      <c r="M733" s="630"/>
      <c r="N733" s="630"/>
      <c r="O733" s="630"/>
      <c r="P733" s="630"/>
      <c r="Q733" s="627">
        <v>-15040.02</v>
      </c>
      <c r="R733" s="627"/>
      <c r="T733" s="631">
        <v>7552.32</v>
      </c>
      <c r="U733" s="631"/>
      <c r="V733" s="631"/>
      <c r="Y733" s="631">
        <v>7377.04</v>
      </c>
      <c r="Z733" s="631"/>
      <c r="AA733" s="631"/>
      <c r="AB733" s="631"/>
      <c r="AC733" s="631"/>
      <c r="AD733" s="631"/>
      <c r="AF733" s="627">
        <v>-14864.74</v>
      </c>
      <c r="AG733" s="627"/>
      <c r="AH733" s="627"/>
      <c r="AI733" s="627"/>
      <c r="AJ733" s="627"/>
      <c r="AK733" s="627"/>
      <c r="AL733" s="627"/>
    </row>
    <row r="734" spans="1:38" ht="11.1" customHeight="1" x14ac:dyDescent="0.25">
      <c r="A734" s="630" t="s">
        <v>4056</v>
      </c>
      <c r="B734" s="630"/>
      <c r="C734" s="630"/>
      <c r="M734" s="630" t="s">
        <v>1138</v>
      </c>
      <c r="N734" s="630"/>
      <c r="O734" s="630"/>
      <c r="P734" s="630"/>
      <c r="Q734" s="627">
        <v>-15040.02</v>
      </c>
      <c r="R734" s="627"/>
      <c r="T734" s="631">
        <v>7552.32</v>
      </c>
      <c r="U734" s="631"/>
      <c r="V734" s="631"/>
      <c r="Y734" s="631">
        <v>7377.04</v>
      </c>
      <c r="Z734" s="631"/>
      <c r="AA734" s="631"/>
      <c r="AB734" s="631"/>
      <c r="AC734" s="631"/>
      <c r="AD734" s="631"/>
      <c r="AF734" s="627">
        <v>-14864.74</v>
      </c>
      <c r="AG734" s="627"/>
      <c r="AH734" s="627"/>
      <c r="AI734" s="627"/>
      <c r="AJ734" s="627"/>
      <c r="AK734" s="627"/>
      <c r="AL734" s="627"/>
    </row>
    <row r="735" spans="1:38" ht="11.1" customHeight="1" x14ac:dyDescent="0.25">
      <c r="A735" s="630" t="s">
        <v>4057</v>
      </c>
      <c r="B735" s="630"/>
      <c r="C735" s="630"/>
      <c r="L735" s="630" t="s">
        <v>591</v>
      </c>
      <c r="M735" s="630"/>
      <c r="N735" s="630"/>
      <c r="O735" s="630"/>
      <c r="P735" s="630"/>
      <c r="Q735" s="627">
        <v>-1786.63</v>
      </c>
      <c r="R735" s="627"/>
      <c r="T735" s="631">
        <v>906.52</v>
      </c>
      <c r="U735" s="631"/>
      <c r="V735" s="631"/>
      <c r="Y735" s="631">
        <v>906.64</v>
      </c>
      <c r="Z735" s="631"/>
      <c r="AA735" s="631"/>
      <c r="AB735" s="631"/>
      <c r="AC735" s="631"/>
      <c r="AD735" s="631"/>
      <c r="AF735" s="627">
        <v>-1786.75</v>
      </c>
      <c r="AG735" s="627"/>
      <c r="AH735" s="627"/>
      <c r="AI735" s="627"/>
      <c r="AJ735" s="627"/>
      <c r="AK735" s="627"/>
      <c r="AL735" s="627"/>
    </row>
    <row r="736" spans="1:38" ht="11.1" customHeight="1" x14ac:dyDescent="0.25">
      <c r="A736" s="630" t="s">
        <v>4058</v>
      </c>
      <c r="B736" s="630"/>
      <c r="C736" s="630"/>
      <c r="M736" s="630" t="s">
        <v>1141</v>
      </c>
      <c r="N736" s="630"/>
      <c r="O736" s="630"/>
      <c r="P736" s="630"/>
      <c r="Q736" s="627">
        <v>-1786.63</v>
      </c>
      <c r="R736" s="627"/>
      <c r="T736" s="631">
        <v>906.52</v>
      </c>
      <c r="U736" s="631"/>
      <c r="V736" s="631"/>
      <c r="Y736" s="631">
        <v>906.64</v>
      </c>
      <c r="Z736" s="631"/>
      <c r="AA736" s="631"/>
      <c r="AB736" s="631"/>
      <c r="AC736" s="631"/>
      <c r="AD736" s="631"/>
      <c r="AF736" s="627">
        <v>-1786.75</v>
      </c>
      <c r="AG736" s="627"/>
      <c r="AH736" s="627"/>
      <c r="AI736" s="627"/>
      <c r="AJ736" s="627"/>
      <c r="AK736" s="627"/>
      <c r="AL736" s="627"/>
    </row>
    <row r="737" spans="1:38" ht="11.1" customHeight="1" x14ac:dyDescent="0.25">
      <c r="A737" s="632" t="s">
        <v>4059</v>
      </c>
      <c r="B737" s="632"/>
      <c r="C737" s="632"/>
      <c r="J737" s="632" t="s">
        <v>1143</v>
      </c>
      <c r="K737" s="632"/>
      <c r="L737" s="632"/>
      <c r="M737" s="632"/>
      <c r="N737" s="632"/>
      <c r="O737" s="632"/>
      <c r="P737" s="632"/>
      <c r="Q737" s="633">
        <v>-92296.93</v>
      </c>
      <c r="R737" s="633"/>
      <c r="T737" s="634">
        <v>0</v>
      </c>
      <c r="U737" s="634"/>
      <c r="V737" s="634"/>
      <c r="Y737" s="634">
        <v>1962.16</v>
      </c>
      <c r="Z737" s="634"/>
      <c r="AA737" s="634"/>
      <c r="AB737" s="634"/>
      <c r="AC737" s="634"/>
      <c r="AD737" s="634"/>
      <c r="AF737" s="633">
        <v>-94259.09</v>
      </c>
      <c r="AG737" s="633"/>
      <c r="AH737" s="633"/>
      <c r="AI737" s="633"/>
      <c r="AJ737" s="633"/>
      <c r="AK737" s="633"/>
      <c r="AL737" s="633"/>
    </row>
    <row r="738" spans="1:38" ht="11.1" customHeight="1" x14ac:dyDescent="0.25">
      <c r="A738" s="630" t="s">
        <v>4060</v>
      </c>
      <c r="B738" s="630"/>
      <c r="C738" s="630"/>
      <c r="K738" s="630" t="s">
        <v>1143</v>
      </c>
      <c r="L738" s="630"/>
      <c r="M738" s="630"/>
      <c r="N738" s="630"/>
      <c r="O738" s="630"/>
      <c r="P738" s="630"/>
      <c r="Q738" s="627">
        <v>-92296.93</v>
      </c>
      <c r="R738" s="627"/>
      <c r="T738" s="631">
        <v>0</v>
      </c>
      <c r="U738" s="631"/>
      <c r="V738" s="631"/>
      <c r="Y738" s="631">
        <v>1962.16</v>
      </c>
      <c r="Z738" s="631"/>
      <c r="AA738" s="631"/>
      <c r="AB738" s="631"/>
      <c r="AC738" s="631"/>
      <c r="AD738" s="631"/>
      <c r="AF738" s="627">
        <v>-94259.09</v>
      </c>
      <c r="AG738" s="627"/>
      <c r="AH738" s="627"/>
      <c r="AI738" s="627"/>
      <c r="AJ738" s="627"/>
      <c r="AK738" s="627"/>
      <c r="AL738" s="627"/>
    </row>
    <row r="739" spans="1:38" ht="11.1" customHeight="1" x14ac:dyDescent="0.25">
      <c r="A739" s="630" t="s">
        <v>4061</v>
      </c>
      <c r="B739" s="630"/>
      <c r="C739" s="630"/>
      <c r="L739" s="630" t="s">
        <v>591</v>
      </c>
      <c r="M739" s="630"/>
      <c r="N739" s="630"/>
      <c r="O739" s="630"/>
      <c r="P739" s="630"/>
      <c r="Q739" s="627">
        <v>-92296.93</v>
      </c>
      <c r="R739" s="627"/>
      <c r="T739" s="631">
        <v>0</v>
      </c>
      <c r="U739" s="631"/>
      <c r="V739" s="631"/>
      <c r="Y739" s="631">
        <v>1962.16</v>
      </c>
      <c r="Z739" s="631"/>
      <c r="AA739" s="631"/>
      <c r="AB739" s="631"/>
      <c r="AC739" s="631"/>
      <c r="AD739" s="631"/>
      <c r="AF739" s="627">
        <v>-94259.09</v>
      </c>
      <c r="AG739" s="627"/>
      <c r="AH739" s="627"/>
      <c r="AI739" s="627"/>
      <c r="AJ739" s="627"/>
      <c r="AK739" s="627"/>
      <c r="AL739" s="627"/>
    </row>
    <row r="740" spans="1:38" ht="11.1" customHeight="1" x14ac:dyDescent="0.25">
      <c r="A740" s="630" t="s">
        <v>4062</v>
      </c>
      <c r="B740" s="630"/>
      <c r="C740" s="630"/>
      <c r="M740" s="630" t="s">
        <v>1147</v>
      </c>
      <c r="N740" s="630"/>
      <c r="O740" s="630"/>
      <c r="P740" s="630"/>
      <c r="Q740" s="627">
        <v>-92296.93</v>
      </c>
      <c r="R740" s="627"/>
      <c r="T740" s="631">
        <v>0</v>
      </c>
      <c r="U740" s="631"/>
      <c r="V740" s="631"/>
      <c r="Y740" s="631">
        <v>1962.16</v>
      </c>
      <c r="Z740" s="631"/>
      <c r="AA740" s="631"/>
      <c r="AB740" s="631"/>
      <c r="AC740" s="631"/>
      <c r="AD740" s="631"/>
      <c r="AF740" s="627">
        <v>-94259.09</v>
      </c>
      <c r="AG740" s="627"/>
      <c r="AH740" s="627"/>
      <c r="AI740" s="627"/>
      <c r="AJ740" s="627"/>
      <c r="AK740" s="627"/>
      <c r="AL740" s="627"/>
    </row>
    <row r="741" spans="1:38" ht="11.1" customHeight="1" x14ac:dyDescent="0.25">
      <c r="A741" s="632" t="s">
        <v>4063</v>
      </c>
      <c r="B741" s="632"/>
      <c r="C741" s="632"/>
      <c r="I741" s="632" t="s">
        <v>1149</v>
      </c>
      <c r="J741" s="632"/>
      <c r="K741" s="632"/>
      <c r="L741" s="632"/>
      <c r="M741" s="632"/>
      <c r="N741" s="632"/>
      <c r="O741" s="632"/>
      <c r="P741" s="632"/>
      <c r="Q741" s="633">
        <v>-9782.94</v>
      </c>
      <c r="R741" s="633"/>
      <c r="T741" s="634">
        <v>3637.63</v>
      </c>
      <c r="U741" s="634"/>
      <c r="V741" s="634"/>
      <c r="Y741" s="634">
        <v>3637.63</v>
      </c>
      <c r="Z741" s="634"/>
      <c r="AA741" s="634"/>
      <c r="AB741" s="634"/>
      <c r="AC741" s="634"/>
      <c r="AD741" s="634"/>
      <c r="AF741" s="633">
        <v>-9782.94</v>
      </c>
      <c r="AG741" s="633"/>
      <c r="AH741" s="633"/>
      <c r="AI741" s="633"/>
      <c r="AJ741" s="633"/>
      <c r="AK741" s="633"/>
      <c r="AL741" s="633"/>
    </row>
    <row r="742" spans="1:38" ht="11.1" customHeight="1" x14ac:dyDescent="0.25">
      <c r="A742" s="630" t="s">
        <v>4064</v>
      </c>
      <c r="B742" s="630"/>
      <c r="C742" s="630"/>
      <c r="K742" s="630" t="s">
        <v>1149</v>
      </c>
      <c r="L742" s="630"/>
      <c r="M742" s="630"/>
      <c r="N742" s="630"/>
      <c r="O742" s="630"/>
      <c r="P742" s="630"/>
      <c r="Q742" s="627">
        <v>-9782.94</v>
      </c>
      <c r="R742" s="627"/>
      <c r="T742" s="631">
        <v>3637.63</v>
      </c>
      <c r="U742" s="631"/>
      <c r="V742" s="631"/>
      <c r="Y742" s="631">
        <v>3637.63</v>
      </c>
      <c r="Z742" s="631"/>
      <c r="AA742" s="631"/>
      <c r="AB742" s="631"/>
      <c r="AC742" s="631"/>
      <c r="AD742" s="631"/>
      <c r="AF742" s="627">
        <v>-9782.94</v>
      </c>
      <c r="AG742" s="627"/>
      <c r="AH742" s="627"/>
      <c r="AI742" s="627"/>
      <c r="AJ742" s="627"/>
      <c r="AK742" s="627"/>
      <c r="AL742" s="627"/>
    </row>
    <row r="743" spans="1:38" ht="11.1" customHeight="1" x14ac:dyDescent="0.25">
      <c r="A743" s="630" t="s">
        <v>4065</v>
      </c>
      <c r="B743" s="630"/>
      <c r="C743" s="630"/>
      <c r="L743" s="630" t="s">
        <v>586</v>
      </c>
      <c r="M743" s="630"/>
      <c r="N743" s="630"/>
      <c r="O743" s="630"/>
      <c r="P743" s="630"/>
      <c r="Q743" s="627">
        <v>0</v>
      </c>
      <c r="R743" s="627"/>
      <c r="T743" s="631">
        <v>1988.3</v>
      </c>
      <c r="U743" s="631"/>
      <c r="V743" s="631"/>
      <c r="Y743" s="631">
        <v>1988.3</v>
      </c>
      <c r="Z743" s="631"/>
      <c r="AA743" s="631"/>
      <c r="AB743" s="631"/>
      <c r="AC743" s="631"/>
      <c r="AD743" s="631"/>
      <c r="AF743" s="627">
        <v>0</v>
      </c>
      <c r="AG743" s="627"/>
      <c r="AH743" s="627"/>
      <c r="AI743" s="627"/>
      <c r="AJ743" s="627"/>
      <c r="AK743" s="627"/>
      <c r="AL743" s="627"/>
    </row>
    <row r="744" spans="1:38" ht="11.1" customHeight="1" x14ac:dyDescent="0.25">
      <c r="A744" s="630" t="s">
        <v>4066</v>
      </c>
      <c r="B744" s="630"/>
      <c r="C744" s="630"/>
      <c r="M744" s="630" t="s">
        <v>1153</v>
      </c>
      <c r="N744" s="630"/>
      <c r="O744" s="630"/>
      <c r="P744" s="630"/>
      <c r="Q744" s="627">
        <v>0</v>
      </c>
      <c r="R744" s="627"/>
      <c r="T744" s="631">
        <v>1988.3</v>
      </c>
      <c r="U744" s="631"/>
      <c r="V744" s="631"/>
      <c r="Y744" s="631">
        <v>1988.3</v>
      </c>
      <c r="Z744" s="631"/>
      <c r="AA744" s="631"/>
      <c r="AB744" s="631"/>
      <c r="AC744" s="631"/>
      <c r="AD744" s="631"/>
      <c r="AF744" s="627">
        <v>0</v>
      </c>
      <c r="AG744" s="627"/>
      <c r="AH744" s="627"/>
      <c r="AI744" s="627"/>
      <c r="AJ744" s="627"/>
      <c r="AK744" s="627"/>
      <c r="AL744" s="627"/>
    </row>
    <row r="745" spans="1:38" ht="11.1" customHeight="1" x14ac:dyDescent="0.25">
      <c r="A745" s="630" t="s">
        <v>4067</v>
      </c>
      <c r="B745" s="630"/>
      <c r="C745" s="630"/>
      <c r="L745" s="630" t="s">
        <v>302</v>
      </c>
      <c r="M745" s="630"/>
      <c r="N745" s="630"/>
      <c r="O745" s="630"/>
      <c r="P745" s="630"/>
      <c r="Q745" s="627">
        <v>-9782.94</v>
      </c>
      <c r="R745" s="627"/>
      <c r="T745" s="631">
        <v>0</v>
      </c>
      <c r="U745" s="631"/>
      <c r="V745" s="631"/>
      <c r="Y745" s="631">
        <v>0</v>
      </c>
      <c r="Z745" s="631"/>
      <c r="AA745" s="631"/>
      <c r="AB745" s="631"/>
      <c r="AC745" s="631"/>
      <c r="AD745" s="631"/>
      <c r="AF745" s="627">
        <v>-9782.94</v>
      </c>
      <c r="AG745" s="627"/>
      <c r="AH745" s="627"/>
      <c r="AI745" s="627"/>
      <c r="AJ745" s="627"/>
      <c r="AK745" s="627"/>
      <c r="AL745" s="627"/>
    </row>
    <row r="746" spans="1:38" ht="11.1" customHeight="1" x14ac:dyDescent="0.25">
      <c r="A746" s="630" t="s">
        <v>4068</v>
      </c>
      <c r="B746" s="630"/>
      <c r="C746" s="630"/>
      <c r="M746" s="630" t="s">
        <v>1156</v>
      </c>
      <c r="N746" s="630"/>
      <c r="O746" s="630"/>
      <c r="P746" s="630"/>
      <c r="Q746" s="627">
        <v>-9782.94</v>
      </c>
      <c r="R746" s="627"/>
      <c r="T746" s="631">
        <v>0</v>
      </c>
      <c r="U746" s="631"/>
      <c r="V746" s="631"/>
      <c r="Y746" s="631">
        <v>0</v>
      </c>
      <c r="Z746" s="631"/>
      <c r="AA746" s="631"/>
      <c r="AB746" s="631"/>
      <c r="AC746" s="631"/>
      <c r="AD746" s="631"/>
      <c r="AF746" s="627">
        <v>-9782.94</v>
      </c>
      <c r="AG746" s="627"/>
      <c r="AH746" s="627"/>
      <c r="AI746" s="627"/>
      <c r="AJ746" s="627"/>
      <c r="AK746" s="627"/>
      <c r="AL746" s="627"/>
    </row>
    <row r="747" spans="1:38" ht="11.1" customHeight="1" x14ac:dyDescent="0.25">
      <c r="A747" s="630" t="s">
        <v>4069</v>
      </c>
      <c r="B747" s="630"/>
      <c r="C747" s="630"/>
      <c r="L747" s="630" t="s">
        <v>591</v>
      </c>
      <c r="M747" s="630"/>
      <c r="N747" s="630"/>
      <c r="O747" s="630"/>
      <c r="P747" s="630"/>
      <c r="Q747" s="627">
        <v>0</v>
      </c>
      <c r="R747" s="627"/>
      <c r="T747" s="631">
        <v>1649.33</v>
      </c>
      <c r="U747" s="631"/>
      <c r="V747" s="631"/>
      <c r="Y747" s="631">
        <v>1649.33</v>
      </c>
      <c r="Z747" s="631"/>
      <c r="AA747" s="631"/>
      <c r="AB747" s="631"/>
      <c r="AC747" s="631"/>
      <c r="AD747" s="631"/>
      <c r="AF747" s="627">
        <v>0</v>
      </c>
      <c r="AG747" s="627"/>
      <c r="AH747" s="627"/>
      <c r="AI747" s="627"/>
      <c r="AJ747" s="627"/>
      <c r="AK747" s="627"/>
      <c r="AL747" s="627"/>
    </row>
    <row r="748" spans="1:38" ht="11.1" customHeight="1" x14ac:dyDescent="0.25">
      <c r="A748" s="630" t="s">
        <v>4070</v>
      </c>
      <c r="B748" s="630"/>
      <c r="C748" s="630"/>
      <c r="M748" s="630" t="s">
        <v>1159</v>
      </c>
      <c r="N748" s="630"/>
      <c r="O748" s="630"/>
      <c r="P748" s="630"/>
      <c r="Q748" s="627">
        <v>0</v>
      </c>
      <c r="R748" s="627"/>
      <c r="T748" s="631">
        <v>1649.33</v>
      </c>
      <c r="U748" s="631"/>
      <c r="V748" s="631"/>
      <c r="Y748" s="631">
        <v>1649.33</v>
      </c>
      <c r="Z748" s="631"/>
      <c r="AA748" s="631"/>
      <c r="AB748" s="631"/>
      <c r="AC748" s="631"/>
      <c r="AD748" s="631"/>
      <c r="AF748" s="627">
        <v>0</v>
      </c>
      <c r="AG748" s="627"/>
      <c r="AH748" s="627"/>
      <c r="AI748" s="627"/>
      <c r="AJ748" s="627"/>
      <c r="AK748" s="627"/>
      <c r="AL748" s="627"/>
    </row>
    <row r="749" spans="1:38" ht="11.1" customHeight="1" x14ac:dyDescent="0.25">
      <c r="A749" s="632" t="s">
        <v>4071</v>
      </c>
      <c r="B749" s="632"/>
      <c r="C749" s="632"/>
      <c r="I749" s="632" t="s">
        <v>1161</v>
      </c>
      <c r="J749" s="632"/>
      <c r="K749" s="632"/>
      <c r="L749" s="632"/>
      <c r="M749" s="632"/>
      <c r="N749" s="632"/>
      <c r="O749" s="632"/>
      <c r="P749" s="632"/>
      <c r="Q749" s="633">
        <v>0</v>
      </c>
      <c r="R749" s="633"/>
      <c r="T749" s="634">
        <v>0</v>
      </c>
      <c r="U749" s="634"/>
      <c r="V749" s="634"/>
      <c r="Y749" s="634">
        <v>26903.63</v>
      </c>
      <c r="Z749" s="634"/>
      <c r="AA749" s="634"/>
      <c r="AB749" s="634"/>
      <c r="AC749" s="634"/>
      <c r="AD749" s="634"/>
      <c r="AF749" s="633">
        <v>-26903.63</v>
      </c>
      <c r="AG749" s="633"/>
      <c r="AH749" s="633"/>
      <c r="AI749" s="633"/>
      <c r="AJ749" s="633"/>
      <c r="AK749" s="633"/>
      <c r="AL749" s="633"/>
    </row>
    <row r="750" spans="1:38" ht="11.1" customHeight="1" x14ac:dyDescent="0.25">
      <c r="A750" s="632" t="s">
        <v>4072</v>
      </c>
      <c r="B750" s="632"/>
      <c r="C750" s="632"/>
      <c r="J750" s="632" t="s">
        <v>1163</v>
      </c>
      <c r="K750" s="632"/>
      <c r="L750" s="632"/>
      <c r="M750" s="632"/>
      <c r="N750" s="632"/>
      <c r="O750" s="632"/>
      <c r="P750" s="632"/>
      <c r="Q750" s="633">
        <v>0</v>
      </c>
      <c r="R750" s="633"/>
      <c r="T750" s="634">
        <v>0</v>
      </c>
      <c r="U750" s="634"/>
      <c r="V750" s="634"/>
      <c r="Y750" s="634">
        <v>26903.63</v>
      </c>
      <c r="Z750" s="634"/>
      <c r="AA750" s="634"/>
      <c r="AB750" s="634"/>
      <c r="AC750" s="634"/>
      <c r="AD750" s="634"/>
      <c r="AF750" s="633">
        <v>-26903.63</v>
      </c>
      <c r="AG750" s="633"/>
      <c r="AH750" s="633"/>
      <c r="AI750" s="633"/>
      <c r="AJ750" s="633"/>
      <c r="AK750" s="633"/>
      <c r="AL750" s="633"/>
    </row>
    <row r="751" spans="1:38" ht="11.1" customHeight="1" x14ac:dyDescent="0.25">
      <c r="A751" s="630" t="s">
        <v>4073</v>
      </c>
      <c r="B751" s="630"/>
      <c r="C751" s="630"/>
      <c r="K751" s="630" t="s">
        <v>1163</v>
      </c>
      <c r="L751" s="630"/>
      <c r="M751" s="630"/>
      <c r="N751" s="630"/>
      <c r="O751" s="630"/>
      <c r="P751" s="630"/>
      <c r="Q751" s="627">
        <v>0</v>
      </c>
      <c r="R751" s="627"/>
      <c r="T751" s="631">
        <v>0</v>
      </c>
      <c r="U751" s="631"/>
      <c r="V751" s="631"/>
      <c r="Y751" s="631">
        <v>26903.63</v>
      </c>
      <c r="Z751" s="631"/>
      <c r="AA751" s="631"/>
      <c r="AB751" s="631"/>
      <c r="AC751" s="631"/>
      <c r="AD751" s="631"/>
      <c r="AF751" s="627">
        <v>-26903.63</v>
      </c>
      <c r="AG751" s="627"/>
      <c r="AH751" s="627"/>
      <c r="AI751" s="627"/>
      <c r="AJ751" s="627"/>
      <c r="AK751" s="627"/>
      <c r="AL751" s="627"/>
    </row>
    <row r="752" spans="1:38" ht="11.1" customHeight="1" x14ac:dyDescent="0.25">
      <c r="A752" s="630" t="s">
        <v>4074</v>
      </c>
      <c r="B752" s="630"/>
      <c r="C752" s="630"/>
      <c r="L752" s="630" t="s">
        <v>302</v>
      </c>
      <c r="M752" s="630"/>
      <c r="N752" s="630"/>
      <c r="O752" s="630"/>
      <c r="P752" s="630"/>
      <c r="Q752" s="627">
        <v>0</v>
      </c>
      <c r="R752" s="627"/>
      <c r="T752" s="631">
        <v>0</v>
      </c>
      <c r="U752" s="631"/>
      <c r="V752" s="631"/>
      <c r="Y752" s="631">
        <v>26903.63</v>
      </c>
      <c r="Z752" s="631"/>
      <c r="AA752" s="631"/>
      <c r="AB752" s="631"/>
      <c r="AC752" s="631"/>
      <c r="AD752" s="631"/>
      <c r="AF752" s="627">
        <v>-26903.63</v>
      </c>
      <c r="AG752" s="627"/>
      <c r="AH752" s="627"/>
      <c r="AI752" s="627"/>
      <c r="AJ752" s="627"/>
      <c r="AK752" s="627"/>
      <c r="AL752" s="627"/>
    </row>
    <row r="753" spans="1:38" ht="11.1" customHeight="1" x14ac:dyDescent="0.25">
      <c r="A753" s="630" t="s">
        <v>4075</v>
      </c>
      <c r="B753" s="630"/>
      <c r="C753" s="630"/>
      <c r="M753" s="630" t="s">
        <v>1167</v>
      </c>
      <c r="N753" s="630"/>
      <c r="O753" s="630"/>
      <c r="P753" s="630"/>
      <c r="Q753" s="627">
        <v>0</v>
      </c>
      <c r="R753" s="627"/>
      <c r="T753" s="631">
        <v>0</v>
      </c>
      <c r="U753" s="631"/>
      <c r="V753" s="631"/>
      <c r="Y753" s="631">
        <v>26903.63</v>
      </c>
      <c r="Z753" s="631"/>
      <c r="AA753" s="631"/>
      <c r="AB753" s="631"/>
      <c r="AC753" s="631"/>
      <c r="AD753" s="631"/>
      <c r="AF753" s="627">
        <v>-26903.63</v>
      </c>
      <c r="AG753" s="627"/>
      <c r="AH753" s="627"/>
      <c r="AI753" s="627"/>
      <c r="AJ753" s="627"/>
      <c r="AK753" s="627"/>
      <c r="AL753" s="627"/>
    </row>
    <row r="754" spans="1:38" ht="11.1" customHeight="1" x14ac:dyDescent="0.25">
      <c r="A754" s="632" t="s">
        <v>4076</v>
      </c>
      <c r="B754" s="632"/>
      <c r="C754" s="632"/>
      <c r="H754" s="632" t="s">
        <v>1169</v>
      </c>
      <c r="I754" s="632"/>
      <c r="J754" s="632"/>
      <c r="K754" s="632"/>
      <c r="L754" s="632"/>
      <c r="M754" s="632"/>
      <c r="N754" s="632"/>
      <c r="O754" s="632"/>
      <c r="P754" s="632"/>
      <c r="Q754" s="633">
        <v>-12917845.689999999</v>
      </c>
      <c r="R754" s="633"/>
      <c r="T754" s="634">
        <v>0.01</v>
      </c>
      <c r="U754" s="634"/>
      <c r="V754" s="634"/>
      <c r="Y754" s="634">
        <v>2213908.3199999998</v>
      </c>
      <c r="Z754" s="634"/>
      <c r="AA754" s="634"/>
      <c r="AB754" s="634"/>
      <c r="AC754" s="634"/>
      <c r="AD754" s="634"/>
      <c r="AF754" s="633">
        <v>-15131754</v>
      </c>
      <c r="AG754" s="633"/>
      <c r="AH754" s="633"/>
      <c r="AI754" s="633"/>
      <c r="AJ754" s="633"/>
      <c r="AK754" s="633"/>
      <c r="AL754" s="633"/>
    </row>
    <row r="755" spans="1:38" ht="11.1" customHeight="1" x14ac:dyDescent="0.25">
      <c r="A755" s="632" t="s">
        <v>4077</v>
      </c>
      <c r="B755" s="632"/>
      <c r="C755" s="632"/>
      <c r="I755" s="632" t="s">
        <v>847</v>
      </c>
      <c r="J755" s="632"/>
      <c r="K755" s="632"/>
      <c r="L755" s="632"/>
      <c r="M755" s="632"/>
      <c r="N755" s="632"/>
      <c r="O755" s="632"/>
      <c r="P755" s="632"/>
      <c r="Q755" s="633">
        <v>-12917845.689999999</v>
      </c>
      <c r="R755" s="633"/>
      <c r="T755" s="634">
        <v>0.01</v>
      </c>
      <c r="U755" s="634"/>
      <c r="V755" s="634"/>
      <c r="Y755" s="634">
        <v>2213908.3199999998</v>
      </c>
      <c r="Z755" s="634"/>
      <c r="AA755" s="634"/>
      <c r="AB755" s="634"/>
      <c r="AC755" s="634"/>
      <c r="AD755" s="634"/>
      <c r="AF755" s="633">
        <v>-15131754</v>
      </c>
      <c r="AG755" s="633"/>
      <c r="AH755" s="633"/>
      <c r="AI755" s="633"/>
      <c r="AJ755" s="633"/>
      <c r="AK755" s="633"/>
      <c r="AL755" s="633"/>
    </row>
    <row r="756" spans="1:38" ht="11.1" customHeight="1" x14ac:dyDescent="0.25">
      <c r="A756" s="630" t="s">
        <v>4078</v>
      </c>
      <c r="B756" s="630"/>
      <c r="C756" s="630"/>
      <c r="L756" s="630" t="s">
        <v>302</v>
      </c>
      <c r="M756" s="630"/>
      <c r="N756" s="630"/>
      <c r="O756" s="630"/>
      <c r="P756" s="630"/>
      <c r="Q756" s="627">
        <v>-12917845.689999999</v>
      </c>
      <c r="R756" s="627"/>
      <c r="T756" s="631">
        <v>0.01</v>
      </c>
      <c r="U756" s="631"/>
      <c r="V756" s="631"/>
      <c r="Y756" s="631">
        <v>2213908.3199999998</v>
      </c>
      <c r="Z756" s="631"/>
      <c r="AA756" s="631"/>
      <c r="AB756" s="631"/>
      <c r="AC756" s="631"/>
      <c r="AD756" s="631"/>
      <c r="AF756" s="627">
        <v>-15131754</v>
      </c>
      <c r="AG756" s="627"/>
      <c r="AH756" s="627"/>
      <c r="AI756" s="627"/>
      <c r="AJ756" s="627"/>
      <c r="AK756" s="627"/>
      <c r="AL756" s="627"/>
    </row>
    <row r="757" spans="1:38" ht="11.1" customHeight="1" x14ac:dyDescent="0.25">
      <c r="A757" s="630" t="s">
        <v>4079</v>
      </c>
      <c r="B757" s="630"/>
      <c r="C757" s="630"/>
      <c r="M757" s="630" t="s">
        <v>1173</v>
      </c>
      <c r="N757" s="630"/>
      <c r="O757" s="630"/>
      <c r="P757" s="630"/>
      <c r="Q757" s="627">
        <v>-12917845.689999999</v>
      </c>
      <c r="R757" s="627"/>
      <c r="T757" s="631">
        <v>0.01</v>
      </c>
      <c r="U757" s="631"/>
      <c r="V757" s="631"/>
      <c r="Y757" s="631">
        <v>2213908.3199999998</v>
      </c>
      <c r="Z757" s="631"/>
      <c r="AA757" s="631"/>
      <c r="AB757" s="631"/>
      <c r="AC757" s="631"/>
      <c r="AD757" s="631"/>
      <c r="AF757" s="627">
        <v>-15131754</v>
      </c>
      <c r="AG757" s="627"/>
      <c r="AH757" s="627"/>
      <c r="AI757" s="627"/>
      <c r="AJ757" s="627"/>
      <c r="AK757" s="627"/>
      <c r="AL757" s="627"/>
    </row>
    <row r="758" spans="1:38" ht="11.1" customHeight="1" x14ac:dyDescent="0.25">
      <c r="A758" s="632" t="s">
        <v>4080</v>
      </c>
      <c r="B758" s="632"/>
      <c r="C758" s="632"/>
      <c r="H758" s="632" t="s">
        <v>1175</v>
      </c>
      <c r="I758" s="632"/>
      <c r="J758" s="632"/>
      <c r="K758" s="632"/>
      <c r="L758" s="632"/>
      <c r="M758" s="632"/>
      <c r="N758" s="632"/>
      <c r="O758" s="632"/>
      <c r="P758" s="632"/>
      <c r="Q758" s="633">
        <v>-22925.46</v>
      </c>
      <c r="R758" s="633"/>
      <c r="T758" s="634">
        <v>2720</v>
      </c>
      <c r="U758" s="634"/>
      <c r="V758" s="634"/>
      <c r="Y758" s="634">
        <v>3662.28</v>
      </c>
      <c r="Z758" s="634"/>
      <c r="AA758" s="634"/>
      <c r="AB758" s="634"/>
      <c r="AC758" s="634"/>
      <c r="AD758" s="634"/>
      <c r="AF758" s="633">
        <v>-23867.74</v>
      </c>
      <c r="AG758" s="633"/>
      <c r="AH758" s="633"/>
      <c r="AI758" s="633"/>
      <c r="AJ758" s="633"/>
      <c r="AK758" s="633"/>
      <c r="AL758" s="633"/>
    </row>
    <row r="759" spans="1:38" ht="11.1" customHeight="1" x14ac:dyDescent="0.25">
      <c r="A759" s="632" t="s">
        <v>4081</v>
      </c>
      <c r="B759" s="632"/>
      <c r="C759" s="632"/>
      <c r="I759" s="632" t="s">
        <v>1177</v>
      </c>
      <c r="J759" s="632"/>
      <c r="K759" s="632"/>
      <c r="L759" s="632"/>
      <c r="M759" s="632"/>
      <c r="N759" s="632"/>
      <c r="O759" s="632"/>
      <c r="P759" s="632"/>
      <c r="Q759" s="633">
        <v>-14807.89</v>
      </c>
      <c r="R759" s="633"/>
      <c r="T759" s="634">
        <v>0</v>
      </c>
      <c r="U759" s="634"/>
      <c r="V759" s="634"/>
      <c r="Y759" s="634">
        <v>942.28</v>
      </c>
      <c r="Z759" s="634"/>
      <c r="AA759" s="634"/>
      <c r="AB759" s="634"/>
      <c r="AC759" s="634"/>
      <c r="AD759" s="634"/>
      <c r="AF759" s="633">
        <v>-15750.17</v>
      </c>
      <c r="AG759" s="633"/>
      <c r="AH759" s="633"/>
      <c r="AI759" s="633"/>
      <c r="AJ759" s="633"/>
      <c r="AK759" s="633"/>
      <c r="AL759" s="633"/>
    </row>
    <row r="760" spans="1:38" ht="11.1" customHeight="1" x14ac:dyDescent="0.25">
      <c r="A760" s="632" t="s">
        <v>4082</v>
      </c>
      <c r="B760" s="632"/>
      <c r="C760" s="632"/>
      <c r="J760" s="632" t="s">
        <v>1177</v>
      </c>
      <c r="K760" s="632"/>
      <c r="L760" s="632"/>
      <c r="M760" s="632"/>
      <c r="N760" s="632"/>
      <c r="O760" s="632"/>
      <c r="P760" s="632"/>
      <c r="Q760" s="633">
        <v>-14807.89</v>
      </c>
      <c r="R760" s="633"/>
      <c r="T760" s="634">
        <v>0</v>
      </c>
      <c r="U760" s="634"/>
      <c r="V760" s="634"/>
      <c r="Y760" s="634">
        <v>942.28</v>
      </c>
      <c r="Z760" s="634"/>
      <c r="AA760" s="634"/>
      <c r="AB760" s="634"/>
      <c r="AC760" s="634"/>
      <c r="AD760" s="634"/>
      <c r="AF760" s="633">
        <v>-15750.17</v>
      </c>
      <c r="AG760" s="633"/>
      <c r="AH760" s="633"/>
      <c r="AI760" s="633"/>
      <c r="AJ760" s="633"/>
      <c r="AK760" s="633"/>
      <c r="AL760" s="633"/>
    </row>
    <row r="761" spans="1:38" ht="11.1" customHeight="1" x14ac:dyDescent="0.25">
      <c r="A761" s="630" t="s">
        <v>4083</v>
      </c>
      <c r="B761" s="630"/>
      <c r="C761" s="630"/>
      <c r="K761" s="630" t="s">
        <v>1177</v>
      </c>
      <c r="L761" s="630"/>
      <c r="M761" s="630"/>
      <c r="N761" s="630"/>
      <c r="O761" s="630"/>
      <c r="P761" s="630"/>
      <c r="Q761" s="627">
        <v>-14807.89</v>
      </c>
      <c r="R761" s="627"/>
      <c r="T761" s="631">
        <v>0</v>
      </c>
      <c r="U761" s="631"/>
      <c r="V761" s="631"/>
      <c r="Y761" s="631">
        <v>942.28</v>
      </c>
      <c r="Z761" s="631"/>
      <c r="AA761" s="631"/>
      <c r="AB761" s="631"/>
      <c r="AC761" s="631"/>
      <c r="AD761" s="631"/>
      <c r="AF761" s="627">
        <v>-15750.17</v>
      </c>
      <c r="AG761" s="627"/>
      <c r="AH761" s="627"/>
      <c r="AI761" s="627"/>
      <c r="AJ761" s="627"/>
      <c r="AK761" s="627"/>
      <c r="AL761" s="627"/>
    </row>
    <row r="762" spans="1:38" ht="11.1" customHeight="1" x14ac:dyDescent="0.25">
      <c r="A762" s="630" t="s">
        <v>4084</v>
      </c>
      <c r="B762" s="630"/>
      <c r="C762" s="630"/>
      <c r="L762" s="630" t="s">
        <v>1177</v>
      </c>
      <c r="M762" s="630"/>
      <c r="N762" s="630"/>
      <c r="O762" s="630"/>
      <c r="P762" s="630"/>
      <c r="Q762" s="627">
        <v>-14807.89</v>
      </c>
      <c r="R762" s="627"/>
      <c r="T762" s="631">
        <v>0</v>
      </c>
      <c r="U762" s="631"/>
      <c r="V762" s="631"/>
      <c r="Y762" s="631">
        <v>942.28</v>
      </c>
      <c r="Z762" s="631"/>
      <c r="AA762" s="631"/>
      <c r="AB762" s="631"/>
      <c r="AC762" s="631"/>
      <c r="AD762" s="631"/>
      <c r="AF762" s="627">
        <v>-15750.17</v>
      </c>
      <c r="AG762" s="627"/>
      <c r="AH762" s="627"/>
      <c r="AI762" s="627"/>
      <c r="AJ762" s="627"/>
      <c r="AK762" s="627"/>
      <c r="AL762" s="627"/>
    </row>
    <row r="763" spans="1:38" ht="11.1" customHeight="1" x14ac:dyDescent="0.25">
      <c r="A763" s="630" t="s">
        <v>4085</v>
      </c>
      <c r="B763" s="630"/>
      <c r="C763" s="630"/>
      <c r="M763" s="630" t="s">
        <v>1177</v>
      </c>
      <c r="N763" s="630"/>
      <c r="O763" s="630"/>
      <c r="P763" s="630"/>
      <c r="Q763" s="627">
        <v>-114.95</v>
      </c>
      <c r="R763" s="627"/>
      <c r="T763" s="631">
        <v>0</v>
      </c>
      <c r="U763" s="631"/>
      <c r="V763" s="631"/>
      <c r="Y763" s="631">
        <v>0</v>
      </c>
      <c r="Z763" s="631"/>
      <c r="AA763" s="631"/>
      <c r="AB763" s="631"/>
      <c r="AC763" s="631"/>
      <c r="AD763" s="631"/>
      <c r="AF763" s="627">
        <v>-114.95</v>
      </c>
      <c r="AG763" s="627"/>
      <c r="AH763" s="627"/>
      <c r="AI763" s="627"/>
      <c r="AJ763" s="627"/>
      <c r="AK763" s="627"/>
      <c r="AL763" s="627"/>
    </row>
    <row r="764" spans="1:38" ht="11.1" customHeight="1" x14ac:dyDescent="0.25">
      <c r="A764" s="630" t="s">
        <v>4086</v>
      </c>
      <c r="B764" s="630"/>
      <c r="C764" s="630"/>
      <c r="M764" s="630" t="s">
        <v>2219</v>
      </c>
      <c r="N764" s="630"/>
      <c r="O764" s="630"/>
      <c r="P764" s="630"/>
      <c r="Q764" s="627">
        <v>-7495.66</v>
      </c>
      <c r="R764" s="627"/>
      <c r="T764" s="631">
        <v>0</v>
      </c>
      <c r="U764" s="631"/>
      <c r="V764" s="631"/>
      <c r="Y764" s="631">
        <v>0</v>
      </c>
      <c r="Z764" s="631"/>
      <c r="AA764" s="631"/>
      <c r="AB764" s="631"/>
      <c r="AC764" s="631"/>
      <c r="AD764" s="631"/>
      <c r="AF764" s="627">
        <v>-7495.66</v>
      </c>
      <c r="AG764" s="627"/>
      <c r="AH764" s="627"/>
      <c r="AI764" s="627"/>
      <c r="AJ764" s="627"/>
      <c r="AK764" s="627"/>
      <c r="AL764" s="627"/>
    </row>
    <row r="765" spans="1:38" ht="11.1" customHeight="1" x14ac:dyDescent="0.25">
      <c r="A765" s="630" t="s">
        <v>4087</v>
      </c>
      <c r="B765" s="630"/>
      <c r="C765" s="630"/>
      <c r="M765" s="630" t="s">
        <v>2281</v>
      </c>
      <c r="N765" s="630"/>
      <c r="O765" s="630"/>
      <c r="P765" s="630"/>
      <c r="Q765" s="627">
        <v>-2158.54</v>
      </c>
      <c r="R765" s="627"/>
      <c r="T765" s="631">
        <v>0</v>
      </c>
      <c r="U765" s="631"/>
      <c r="V765" s="631"/>
      <c r="Y765" s="631">
        <v>0</v>
      </c>
      <c r="Z765" s="631"/>
      <c r="AA765" s="631"/>
      <c r="AB765" s="631"/>
      <c r="AC765" s="631"/>
      <c r="AD765" s="631"/>
      <c r="AF765" s="627">
        <v>-2158.54</v>
      </c>
      <c r="AG765" s="627"/>
      <c r="AH765" s="627"/>
      <c r="AI765" s="627"/>
      <c r="AJ765" s="627"/>
      <c r="AK765" s="627"/>
      <c r="AL765" s="627"/>
    </row>
    <row r="766" spans="1:38" ht="11.1" customHeight="1" x14ac:dyDescent="0.25">
      <c r="A766" s="630" t="s">
        <v>4088</v>
      </c>
      <c r="B766" s="630"/>
      <c r="C766" s="630"/>
      <c r="M766" s="630" t="s">
        <v>2474</v>
      </c>
      <c r="N766" s="630"/>
      <c r="O766" s="630"/>
      <c r="P766" s="630"/>
      <c r="Q766" s="627">
        <v>-5038.74</v>
      </c>
      <c r="R766" s="627"/>
      <c r="T766" s="631">
        <v>0</v>
      </c>
      <c r="U766" s="631"/>
      <c r="V766" s="631"/>
      <c r="Y766" s="631">
        <v>0</v>
      </c>
      <c r="Z766" s="631"/>
      <c r="AA766" s="631"/>
      <c r="AB766" s="631"/>
      <c r="AC766" s="631"/>
      <c r="AD766" s="631"/>
      <c r="AF766" s="627">
        <v>-5038.74</v>
      </c>
      <c r="AG766" s="627"/>
      <c r="AH766" s="627"/>
      <c r="AI766" s="627"/>
      <c r="AJ766" s="627"/>
      <c r="AK766" s="627"/>
      <c r="AL766" s="627"/>
    </row>
    <row r="767" spans="1:38" ht="11.1" customHeight="1" x14ac:dyDescent="0.25">
      <c r="A767" s="630" t="s">
        <v>4089</v>
      </c>
      <c r="B767" s="630"/>
      <c r="C767" s="630"/>
      <c r="M767" s="630" t="s">
        <v>2914</v>
      </c>
      <c r="N767" s="630"/>
      <c r="O767" s="630"/>
      <c r="P767" s="630"/>
      <c r="Q767" s="627">
        <v>0</v>
      </c>
      <c r="R767" s="627"/>
      <c r="T767" s="631">
        <v>0</v>
      </c>
      <c r="U767" s="631"/>
      <c r="V767" s="631"/>
      <c r="Y767" s="631">
        <v>942.28</v>
      </c>
      <c r="Z767" s="631"/>
      <c r="AA767" s="631"/>
      <c r="AB767" s="631"/>
      <c r="AC767" s="631"/>
      <c r="AD767" s="631"/>
      <c r="AF767" s="627">
        <v>-942.28</v>
      </c>
      <c r="AG767" s="627"/>
      <c r="AH767" s="627"/>
      <c r="AI767" s="627"/>
      <c r="AJ767" s="627"/>
      <c r="AK767" s="627"/>
      <c r="AL767" s="627"/>
    </row>
    <row r="768" spans="1:38" ht="11.1" customHeight="1" x14ac:dyDescent="0.25">
      <c r="A768" s="632" t="s">
        <v>4090</v>
      </c>
      <c r="B768" s="632"/>
      <c r="C768" s="632"/>
      <c r="I768" s="632" t="s">
        <v>331</v>
      </c>
      <c r="J768" s="632"/>
      <c r="K768" s="632"/>
      <c r="L768" s="632"/>
      <c r="M768" s="632"/>
      <c r="N768" s="632"/>
      <c r="O768" s="632"/>
      <c r="P768" s="632"/>
      <c r="Q768" s="633">
        <v>-8117.57</v>
      </c>
      <c r="R768" s="633"/>
      <c r="T768" s="634">
        <v>2720</v>
      </c>
      <c r="U768" s="634"/>
      <c r="V768" s="634"/>
      <c r="Y768" s="634">
        <v>2720</v>
      </c>
      <c r="Z768" s="634"/>
      <c r="AA768" s="634"/>
      <c r="AB768" s="634"/>
      <c r="AC768" s="634"/>
      <c r="AD768" s="634"/>
      <c r="AF768" s="633">
        <v>-8117.57</v>
      </c>
      <c r="AG768" s="633"/>
      <c r="AH768" s="633"/>
      <c r="AI768" s="633"/>
      <c r="AJ768" s="633"/>
      <c r="AK768" s="633"/>
      <c r="AL768" s="633"/>
    </row>
    <row r="769" spans="1:38" ht="11.1" customHeight="1" x14ac:dyDescent="0.25">
      <c r="A769" s="632" t="s">
        <v>4091</v>
      </c>
      <c r="B769" s="632"/>
      <c r="C769" s="632"/>
      <c r="J769" s="632" t="s">
        <v>1184</v>
      </c>
      <c r="K769" s="632"/>
      <c r="L769" s="632"/>
      <c r="M769" s="632"/>
      <c r="N769" s="632"/>
      <c r="O769" s="632"/>
      <c r="P769" s="632"/>
      <c r="Q769" s="633">
        <v>-8117.57</v>
      </c>
      <c r="R769" s="633"/>
      <c r="T769" s="634">
        <v>2720</v>
      </c>
      <c r="U769" s="634"/>
      <c r="V769" s="634"/>
      <c r="Y769" s="634">
        <v>2720</v>
      </c>
      <c r="Z769" s="634"/>
      <c r="AA769" s="634"/>
      <c r="AB769" s="634"/>
      <c r="AC769" s="634"/>
      <c r="AD769" s="634"/>
      <c r="AF769" s="633">
        <v>-8117.57</v>
      </c>
      <c r="AG769" s="633"/>
      <c r="AH769" s="633"/>
      <c r="AI769" s="633"/>
      <c r="AJ769" s="633"/>
      <c r="AK769" s="633"/>
      <c r="AL769" s="633"/>
    </row>
    <row r="770" spans="1:38" ht="11.1" customHeight="1" x14ac:dyDescent="0.25">
      <c r="A770" s="630" t="s">
        <v>4092</v>
      </c>
      <c r="B770" s="630"/>
      <c r="C770" s="630"/>
      <c r="K770" s="630" t="s">
        <v>1184</v>
      </c>
      <c r="L770" s="630"/>
      <c r="M770" s="630"/>
      <c r="N770" s="630"/>
      <c r="O770" s="630"/>
      <c r="P770" s="630"/>
      <c r="Q770" s="627">
        <v>-8117.57</v>
      </c>
      <c r="R770" s="627"/>
      <c r="T770" s="631">
        <v>2720</v>
      </c>
      <c r="U770" s="631"/>
      <c r="V770" s="631"/>
      <c r="Y770" s="631">
        <v>2720</v>
      </c>
      <c r="Z770" s="631"/>
      <c r="AA770" s="631"/>
      <c r="AB770" s="631"/>
      <c r="AC770" s="631"/>
      <c r="AD770" s="631"/>
      <c r="AF770" s="627">
        <v>-8117.57</v>
      </c>
      <c r="AG770" s="627"/>
      <c r="AH770" s="627"/>
      <c r="AI770" s="627"/>
      <c r="AJ770" s="627"/>
      <c r="AK770" s="627"/>
      <c r="AL770" s="627"/>
    </row>
    <row r="771" spans="1:38" ht="11.1" customHeight="1" x14ac:dyDescent="0.25">
      <c r="A771" s="630" t="s">
        <v>4093</v>
      </c>
      <c r="B771" s="630"/>
      <c r="C771" s="630"/>
      <c r="L771" s="630" t="s">
        <v>1184</v>
      </c>
      <c r="M771" s="630"/>
      <c r="N771" s="630"/>
      <c r="O771" s="630"/>
      <c r="P771" s="630"/>
      <c r="Q771" s="627">
        <v>-8117.57</v>
      </c>
      <c r="R771" s="627"/>
      <c r="T771" s="631">
        <v>2720</v>
      </c>
      <c r="U771" s="631"/>
      <c r="V771" s="631"/>
      <c r="Y771" s="631">
        <v>2720</v>
      </c>
      <c r="Z771" s="631"/>
      <c r="AA771" s="631"/>
      <c r="AB771" s="631"/>
      <c r="AC771" s="631"/>
      <c r="AD771" s="631"/>
      <c r="AF771" s="627">
        <v>-8117.57</v>
      </c>
      <c r="AG771" s="627"/>
      <c r="AH771" s="627"/>
      <c r="AI771" s="627"/>
      <c r="AJ771" s="627"/>
      <c r="AK771" s="627"/>
      <c r="AL771" s="627"/>
    </row>
    <row r="772" spans="1:38" ht="11.1" customHeight="1" x14ac:dyDescent="0.25">
      <c r="A772" s="630" t="s">
        <v>4094</v>
      </c>
      <c r="B772" s="630"/>
      <c r="C772" s="630"/>
      <c r="M772" s="630" t="s">
        <v>294</v>
      </c>
      <c r="N772" s="630"/>
      <c r="O772" s="630"/>
      <c r="P772" s="630"/>
      <c r="Q772" s="627">
        <v>-6427.17</v>
      </c>
      <c r="R772" s="627"/>
      <c r="T772" s="631">
        <v>0</v>
      </c>
      <c r="U772" s="631"/>
      <c r="V772" s="631"/>
      <c r="Y772" s="631">
        <v>0</v>
      </c>
      <c r="Z772" s="631"/>
      <c r="AA772" s="631"/>
      <c r="AB772" s="631"/>
      <c r="AC772" s="631"/>
      <c r="AD772" s="631"/>
      <c r="AF772" s="627">
        <v>-6427.17</v>
      </c>
      <c r="AG772" s="627"/>
      <c r="AH772" s="627"/>
      <c r="AI772" s="627"/>
      <c r="AJ772" s="627"/>
      <c r="AK772" s="627"/>
      <c r="AL772" s="627"/>
    </row>
    <row r="773" spans="1:38" ht="11.1" customHeight="1" x14ac:dyDescent="0.25">
      <c r="A773" s="630" t="s">
        <v>4095</v>
      </c>
      <c r="B773" s="630"/>
      <c r="C773" s="630"/>
      <c r="M773" s="630" t="s">
        <v>1189</v>
      </c>
      <c r="N773" s="630"/>
      <c r="O773" s="630"/>
      <c r="P773" s="630"/>
      <c r="Q773" s="627">
        <v>0</v>
      </c>
      <c r="R773" s="627"/>
      <c r="T773" s="631">
        <v>2720</v>
      </c>
      <c r="U773" s="631"/>
      <c r="V773" s="631"/>
      <c r="Y773" s="631">
        <v>2720</v>
      </c>
      <c r="Z773" s="631"/>
      <c r="AA773" s="631"/>
      <c r="AB773" s="631"/>
      <c r="AC773" s="631"/>
      <c r="AD773" s="631"/>
      <c r="AF773" s="627">
        <v>0</v>
      </c>
      <c r="AG773" s="627"/>
      <c r="AH773" s="627"/>
      <c r="AI773" s="627"/>
      <c r="AJ773" s="627"/>
      <c r="AK773" s="627"/>
      <c r="AL773" s="627"/>
    </row>
    <row r="774" spans="1:38" ht="11.1" customHeight="1" x14ac:dyDescent="0.25">
      <c r="A774" s="630" t="s">
        <v>4096</v>
      </c>
      <c r="B774" s="630"/>
      <c r="C774" s="630"/>
      <c r="M774" s="630" t="s">
        <v>1191</v>
      </c>
      <c r="N774" s="630"/>
      <c r="O774" s="630"/>
      <c r="P774" s="630"/>
      <c r="Q774" s="627">
        <v>-1690.4</v>
      </c>
      <c r="R774" s="627"/>
      <c r="T774" s="631">
        <v>0</v>
      </c>
      <c r="U774" s="631"/>
      <c r="V774" s="631"/>
      <c r="Y774" s="631">
        <v>0</v>
      </c>
      <c r="Z774" s="631"/>
      <c r="AA774" s="631"/>
      <c r="AB774" s="631"/>
      <c r="AC774" s="631"/>
      <c r="AD774" s="631"/>
      <c r="AF774" s="627">
        <v>-1690.4</v>
      </c>
      <c r="AG774" s="627"/>
      <c r="AH774" s="627"/>
      <c r="AI774" s="627"/>
      <c r="AJ774" s="627"/>
      <c r="AK774" s="627"/>
      <c r="AL774" s="627"/>
    </row>
    <row r="775" spans="1:38" ht="11.1" customHeight="1" x14ac:dyDescent="0.25">
      <c r="A775" s="632" t="s">
        <v>4097</v>
      </c>
      <c r="B775" s="632"/>
      <c r="C775" s="632"/>
      <c r="H775" s="632" t="s">
        <v>1193</v>
      </c>
      <c r="I775" s="632"/>
      <c r="J775" s="632"/>
      <c r="K775" s="632"/>
      <c r="L775" s="632"/>
      <c r="M775" s="632"/>
      <c r="N775" s="632"/>
      <c r="O775" s="632"/>
      <c r="P775" s="632"/>
      <c r="Q775" s="633">
        <v>-206997072.69999999</v>
      </c>
      <c r="R775" s="633"/>
      <c r="T775" s="634">
        <v>13446805.9</v>
      </c>
      <c r="U775" s="634"/>
      <c r="V775" s="634"/>
      <c r="Y775" s="634">
        <v>17362.68</v>
      </c>
      <c r="Z775" s="634"/>
      <c r="AA775" s="634"/>
      <c r="AB775" s="634"/>
      <c r="AC775" s="634"/>
      <c r="AD775" s="634"/>
      <c r="AF775" s="633">
        <v>-193567629.47999999</v>
      </c>
      <c r="AG775" s="633"/>
      <c r="AH775" s="633"/>
      <c r="AI775" s="633"/>
      <c r="AJ775" s="633"/>
      <c r="AK775" s="633"/>
      <c r="AL775" s="633"/>
    </row>
    <row r="776" spans="1:38" ht="11.1" customHeight="1" x14ac:dyDescent="0.25">
      <c r="A776" s="632" t="s">
        <v>4098</v>
      </c>
      <c r="B776" s="632"/>
      <c r="C776" s="632"/>
      <c r="H776" s="632" t="s">
        <v>513</v>
      </c>
      <c r="I776" s="632"/>
      <c r="J776" s="632"/>
      <c r="K776" s="632"/>
      <c r="L776" s="632"/>
      <c r="M776" s="632"/>
      <c r="N776" s="632"/>
      <c r="O776" s="632"/>
      <c r="P776" s="632"/>
      <c r="Q776" s="633">
        <v>-23067.29</v>
      </c>
      <c r="R776" s="633"/>
      <c r="T776" s="634">
        <v>0.01</v>
      </c>
      <c r="U776" s="634"/>
      <c r="V776" s="634"/>
      <c r="Y776" s="634">
        <v>990.36</v>
      </c>
      <c r="Z776" s="634"/>
      <c r="AA776" s="634"/>
      <c r="AB776" s="634"/>
      <c r="AC776" s="634"/>
      <c r="AD776" s="634"/>
      <c r="AF776" s="633">
        <v>-24057.64</v>
      </c>
      <c r="AG776" s="633"/>
      <c r="AH776" s="633"/>
      <c r="AI776" s="633"/>
      <c r="AJ776" s="633"/>
      <c r="AK776" s="633"/>
      <c r="AL776" s="633"/>
    </row>
    <row r="777" spans="1:38" ht="11.1" customHeight="1" x14ac:dyDescent="0.25">
      <c r="A777" s="632" t="s">
        <v>4099</v>
      </c>
      <c r="B777" s="632"/>
      <c r="C777" s="632"/>
      <c r="I777" s="632" t="s">
        <v>912</v>
      </c>
      <c r="J777" s="632"/>
      <c r="K777" s="632"/>
      <c r="L777" s="632"/>
      <c r="M777" s="632"/>
      <c r="N777" s="632"/>
      <c r="O777" s="632"/>
      <c r="P777" s="632"/>
      <c r="Q777" s="633">
        <v>-23067.29</v>
      </c>
      <c r="R777" s="633"/>
      <c r="T777" s="634">
        <v>0.01</v>
      </c>
      <c r="U777" s="634"/>
      <c r="V777" s="634"/>
      <c r="Y777" s="634">
        <v>990.36</v>
      </c>
      <c r="Z777" s="634"/>
      <c r="AA777" s="634"/>
      <c r="AB777" s="634"/>
      <c r="AC777" s="634"/>
      <c r="AD777" s="634"/>
      <c r="AF777" s="633">
        <v>-24057.64</v>
      </c>
      <c r="AG777" s="633"/>
      <c r="AH777" s="633"/>
      <c r="AI777" s="633"/>
      <c r="AJ777" s="633"/>
      <c r="AK777" s="633"/>
      <c r="AL777" s="633"/>
    </row>
    <row r="778" spans="1:38" ht="11.1" customHeight="1" x14ac:dyDescent="0.25">
      <c r="A778" s="630" t="s">
        <v>4100</v>
      </c>
      <c r="B778" s="630"/>
      <c r="C778" s="630"/>
      <c r="L778" s="630" t="s">
        <v>302</v>
      </c>
      <c r="M778" s="630"/>
      <c r="N778" s="630"/>
      <c r="O778" s="630"/>
      <c r="P778" s="630"/>
      <c r="Q778" s="627">
        <v>-23067.29</v>
      </c>
      <c r="R778" s="627"/>
      <c r="T778" s="631">
        <v>0.01</v>
      </c>
      <c r="U778" s="631"/>
      <c r="V778" s="631"/>
      <c r="Y778" s="631">
        <v>990.36</v>
      </c>
      <c r="Z778" s="631"/>
      <c r="AA778" s="631"/>
      <c r="AB778" s="631"/>
      <c r="AC778" s="631"/>
      <c r="AD778" s="631"/>
      <c r="AF778" s="627">
        <v>-24057.64</v>
      </c>
      <c r="AG778" s="627"/>
      <c r="AH778" s="627"/>
      <c r="AI778" s="627"/>
      <c r="AJ778" s="627"/>
      <c r="AK778" s="627"/>
      <c r="AL778" s="627"/>
    </row>
    <row r="779" spans="1:38" ht="11.1" customHeight="1" x14ac:dyDescent="0.25">
      <c r="A779" s="630" t="s">
        <v>4101</v>
      </c>
      <c r="B779" s="630"/>
      <c r="C779" s="630"/>
      <c r="M779" s="630" t="s">
        <v>912</v>
      </c>
      <c r="N779" s="630"/>
      <c r="O779" s="630"/>
      <c r="P779" s="630"/>
      <c r="Q779" s="627">
        <v>-23067.29</v>
      </c>
      <c r="R779" s="627"/>
      <c r="T779" s="631">
        <v>0.01</v>
      </c>
      <c r="U779" s="631"/>
      <c r="V779" s="631"/>
      <c r="Y779" s="631">
        <v>990.36</v>
      </c>
      <c r="Z779" s="631"/>
      <c r="AA779" s="631"/>
      <c r="AB779" s="631"/>
      <c r="AC779" s="631"/>
      <c r="AD779" s="631"/>
      <c r="AF779" s="627">
        <v>-24057.64</v>
      </c>
      <c r="AG779" s="627"/>
      <c r="AH779" s="627"/>
      <c r="AI779" s="627"/>
      <c r="AJ779" s="627"/>
      <c r="AK779" s="627"/>
      <c r="AL779" s="627"/>
    </row>
    <row r="780" spans="1:38" ht="11.1" customHeight="1" x14ac:dyDescent="0.25">
      <c r="A780" s="632" t="s">
        <v>4102</v>
      </c>
      <c r="B780" s="632"/>
      <c r="C780" s="632"/>
      <c r="H780" s="632" t="s">
        <v>1118</v>
      </c>
      <c r="I780" s="632"/>
      <c r="J780" s="632"/>
      <c r="K780" s="632"/>
      <c r="L780" s="632"/>
      <c r="M780" s="632"/>
      <c r="N780" s="632"/>
      <c r="O780" s="632"/>
      <c r="P780" s="632"/>
      <c r="Q780" s="633">
        <v>-88597.71</v>
      </c>
      <c r="R780" s="633"/>
      <c r="T780" s="634">
        <v>0</v>
      </c>
      <c r="U780" s="634"/>
      <c r="V780" s="634"/>
      <c r="Y780" s="634">
        <v>0</v>
      </c>
      <c r="Z780" s="634"/>
      <c r="AA780" s="634"/>
      <c r="AB780" s="634"/>
      <c r="AC780" s="634"/>
      <c r="AD780" s="634"/>
      <c r="AF780" s="633">
        <v>-88597.71</v>
      </c>
      <c r="AG780" s="633"/>
      <c r="AH780" s="633"/>
      <c r="AI780" s="633"/>
      <c r="AJ780" s="633"/>
      <c r="AK780" s="633"/>
      <c r="AL780" s="633"/>
    </row>
    <row r="781" spans="1:38" ht="11.1" customHeight="1" x14ac:dyDescent="0.25">
      <c r="A781" s="632" t="s">
        <v>4103</v>
      </c>
      <c r="B781" s="632"/>
      <c r="C781" s="632"/>
      <c r="I781" s="632" t="s">
        <v>2237</v>
      </c>
      <c r="J781" s="632"/>
      <c r="K781" s="632"/>
      <c r="L781" s="632"/>
      <c r="M781" s="632"/>
      <c r="N781" s="632"/>
      <c r="O781" s="632"/>
      <c r="P781" s="632"/>
      <c r="Q781" s="633">
        <v>-88597.71</v>
      </c>
      <c r="R781" s="633"/>
      <c r="T781" s="634">
        <v>0</v>
      </c>
      <c r="U781" s="634"/>
      <c r="V781" s="634"/>
      <c r="Y781" s="634">
        <v>0</v>
      </c>
      <c r="Z781" s="634"/>
      <c r="AA781" s="634"/>
      <c r="AB781" s="634"/>
      <c r="AC781" s="634"/>
      <c r="AD781" s="634"/>
      <c r="AF781" s="633">
        <v>-88597.71</v>
      </c>
      <c r="AG781" s="633"/>
      <c r="AH781" s="633"/>
      <c r="AI781" s="633"/>
      <c r="AJ781" s="633"/>
      <c r="AK781" s="633"/>
      <c r="AL781" s="633"/>
    </row>
    <row r="782" spans="1:38" ht="11.1" customHeight="1" x14ac:dyDescent="0.25">
      <c r="A782" s="630" t="s">
        <v>4104</v>
      </c>
      <c r="B782" s="630"/>
      <c r="C782" s="630"/>
      <c r="L782" s="630" t="s">
        <v>302</v>
      </c>
      <c r="M782" s="630"/>
      <c r="N782" s="630"/>
      <c r="O782" s="630"/>
      <c r="P782" s="630"/>
      <c r="Q782" s="627">
        <v>-88597.71</v>
      </c>
      <c r="R782" s="627"/>
      <c r="T782" s="631">
        <v>0</v>
      </c>
      <c r="U782" s="631"/>
      <c r="V782" s="631"/>
      <c r="Y782" s="631">
        <v>0</v>
      </c>
      <c r="Z782" s="631"/>
      <c r="AA782" s="631"/>
      <c r="AB782" s="631"/>
      <c r="AC782" s="631"/>
      <c r="AD782" s="631"/>
      <c r="AF782" s="627">
        <v>-88597.71</v>
      </c>
      <c r="AG782" s="627"/>
      <c r="AH782" s="627"/>
      <c r="AI782" s="627"/>
      <c r="AJ782" s="627"/>
      <c r="AK782" s="627"/>
      <c r="AL782" s="627"/>
    </row>
    <row r="783" spans="1:38" ht="11.1" customHeight="1" x14ac:dyDescent="0.25">
      <c r="A783" s="630" t="s">
        <v>4105</v>
      </c>
      <c r="B783" s="630"/>
      <c r="C783" s="630"/>
      <c r="M783" s="630" t="s">
        <v>2240</v>
      </c>
      <c r="N783" s="630"/>
      <c r="O783" s="630"/>
      <c r="P783" s="630"/>
      <c r="Q783" s="627">
        <v>-88597.71</v>
      </c>
      <c r="R783" s="627"/>
      <c r="T783" s="631">
        <v>0</v>
      </c>
      <c r="U783" s="631"/>
      <c r="V783" s="631"/>
      <c r="Y783" s="631">
        <v>0</v>
      </c>
      <c r="Z783" s="631"/>
      <c r="AA783" s="631"/>
      <c r="AB783" s="631"/>
      <c r="AC783" s="631"/>
      <c r="AD783" s="631"/>
      <c r="AF783" s="627">
        <v>-88597.71</v>
      </c>
      <c r="AG783" s="627"/>
      <c r="AH783" s="627"/>
      <c r="AI783" s="627"/>
      <c r="AJ783" s="627"/>
      <c r="AK783" s="627"/>
      <c r="AL783" s="627"/>
    </row>
    <row r="784" spans="1:38" ht="11.1" customHeight="1" x14ac:dyDescent="0.25">
      <c r="A784" s="632" t="s">
        <v>4106</v>
      </c>
      <c r="B784" s="632"/>
      <c r="C784" s="632"/>
      <c r="H784" s="632" t="s">
        <v>1120</v>
      </c>
      <c r="I784" s="632"/>
      <c r="J784" s="632"/>
      <c r="K784" s="632"/>
      <c r="L784" s="632"/>
      <c r="M784" s="632"/>
      <c r="N784" s="632"/>
      <c r="O784" s="632"/>
      <c r="P784" s="632"/>
      <c r="Q784" s="633">
        <v>-911849.42</v>
      </c>
      <c r="R784" s="633"/>
      <c r="T784" s="634">
        <v>0</v>
      </c>
      <c r="U784" s="634"/>
      <c r="V784" s="634"/>
      <c r="Y784" s="634">
        <v>16372.31</v>
      </c>
      <c r="Z784" s="634"/>
      <c r="AA784" s="634"/>
      <c r="AB784" s="634"/>
      <c r="AC784" s="634"/>
      <c r="AD784" s="634"/>
      <c r="AF784" s="633">
        <v>-928221.73</v>
      </c>
      <c r="AG784" s="633"/>
      <c r="AH784" s="633"/>
      <c r="AI784" s="633"/>
      <c r="AJ784" s="633"/>
      <c r="AK784" s="633"/>
      <c r="AL784" s="633"/>
    </row>
    <row r="785" spans="1:38" ht="11.1" customHeight="1" x14ac:dyDescent="0.25">
      <c r="A785" s="632" t="s">
        <v>4107</v>
      </c>
      <c r="B785" s="632"/>
      <c r="C785" s="632"/>
      <c r="I785" s="632" t="s">
        <v>1200</v>
      </c>
      <c r="J785" s="632"/>
      <c r="K785" s="632"/>
      <c r="L785" s="632"/>
      <c r="M785" s="632"/>
      <c r="N785" s="632"/>
      <c r="O785" s="632"/>
      <c r="P785" s="632"/>
      <c r="Q785" s="633">
        <v>-911849.42</v>
      </c>
      <c r="R785" s="633"/>
      <c r="T785" s="634">
        <v>0</v>
      </c>
      <c r="U785" s="634"/>
      <c r="V785" s="634"/>
      <c r="Y785" s="634">
        <v>16372.31</v>
      </c>
      <c r="Z785" s="634"/>
      <c r="AA785" s="634"/>
      <c r="AB785" s="634"/>
      <c r="AC785" s="634"/>
      <c r="AD785" s="634"/>
      <c r="AF785" s="633">
        <v>-928221.73</v>
      </c>
      <c r="AG785" s="633"/>
      <c r="AH785" s="633"/>
      <c r="AI785" s="633"/>
      <c r="AJ785" s="633"/>
      <c r="AK785" s="633"/>
      <c r="AL785" s="633"/>
    </row>
    <row r="786" spans="1:38" ht="11.1" customHeight="1" x14ac:dyDescent="0.25">
      <c r="A786" s="632" t="s">
        <v>4108</v>
      </c>
      <c r="B786" s="632"/>
      <c r="C786" s="632"/>
      <c r="J786" s="632" t="s">
        <v>1143</v>
      </c>
      <c r="K786" s="632"/>
      <c r="L786" s="632"/>
      <c r="M786" s="632"/>
      <c r="N786" s="632"/>
      <c r="O786" s="632"/>
      <c r="P786" s="632"/>
      <c r="Q786" s="633">
        <v>-911849.42</v>
      </c>
      <c r="R786" s="633"/>
      <c r="T786" s="634">
        <v>0</v>
      </c>
      <c r="U786" s="634"/>
      <c r="V786" s="634"/>
      <c r="Y786" s="634">
        <v>16372.31</v>
      </c>
      <c r="Z786" s="634"/>
      <c r="AA786" s="634"/>
      <c r="AB786" s="634"/>
      <c r="AC786" s="634"/>
      <c r="AD786" s="634"/>
      <c r="AF786" s="633">
        <v>-928221.73</v>
      </c>
      <c r="AG786" s="633"/>
      <c r="AH786" s="633"/>
      <c r="AI786" s="633"/>
      <c r="AJ786" s="633"/>
      <c r="AK786" s="633"/>
      <c r="AL786" s="633"/>
    </row>
    <row r="787" spans="1:38" ht="11.1" customHeight="1" x14ac:dyDescent="0.25">
      <c r="A787" s="630" t="s">
        <v>4109</v>
      </c>
      <c r="B787" s="630"/>
      <c r="C787" s="630"/>
      <c r="K787" s="630" t="s">
        <v>1143</v>
      </c>
      <c r="L787" s="630"/>
      <c r="M787" s="630"/>
      <c r="N787" s="630"/>
      <c r="O787" s="630"/>
      <c r="P787" s="630"/>
      <c r="Q787" s="627">
        <v>-911849.42</v>
      </c>
      <c r="R787" s="627"/>
      <c r="T787" s="631">
        <v>0</v>
      </c>
      <c r="U787" s="631"/>
      <c r="V787" s="631"/>
      <c r="Y787" s="631">
        <v>16372.31</v>
      </c>
      <c r="Z787" s="631"/>
      <c r="AA787" s="631"/>
      <c r="AB787" s="631"/>
      <c r="AC787" s="631"/>
      <c r="AD787" s="631"/>
      <c r="AF787" s="627">
        <v>-928221.73</v>
      </c>
      <c r="AG787" s="627"/>
      <c r="AH787" s="627"/>
      <c r="AI787" s="627"/>
      <c r="AJ787" s="627"/>
      <c r="AK787" s="627"/>
      <c r="AL787" s="627"/>
    </row>
    <row r="788" spans="1:38" ht="11.1" customHeight="1" x14ac:dyDescent="0.25">
      <c r="A788" s="630" t="s">
        <v>4110</v>
      </c>
      <c r="B788" s="630"/>
      <c r="C788" s="630"/>
      <c r="L788" s="630" t="s">
        <v>302</v>
      </c>
      <c r="M788" s="630"/>
      <c r="N788" s="630"/>
      <c r="O788" s="630"/>
      <c r="P788" s="630"/>
      <c r="Q788" s="627">
        <v>-911849.42</v>
      </c>
      <c r="R788" s="627"/>
      <c r="T788" s="631">
        <v>0</v>
      </c>
      <c r="U788" s="631"/>
      <c r="V788" s="631"/>
      <c r="Y788" s="631">
        <v>16372.31</v>
      </c>
      <c r="Z788" s="631"/>
      <c r="AA788" s="631"/>
      <c r="AB788" s="631"/>
      <c r="AC788" s="631"/>
      <c r="AD788" s="631"/>
      <c r="AF788" s="627">
        <v>-928221.73</v>
      </c>
      <c r="AG788" s="627"/>
      <c r="AH788" s="627"/>
      <c r="AI788" s="627"/>
      <c r="AJ788" s="627"/>
      <c r="AK788" s="627"/>
      <c r="AL788" s="627"/>
    </row>
    <row r="789" spans="1:38" ht="11.1" customHeight="1" x14ac:dyDescent="0.25">
      <c r="A789" s="630" t="s">
        <v>4111</v>
      </c>
      <c r="B789" s="630"/>
      <c r="C789" s="630"/>
      <c r="M789" s="630" t="s">
        <v>1205</v>
      </c>
      <c r="N789" s="630"/>
      <c r="O789" s="630"/>
      <c r="P789" s="630"/>
      <c r="Q789" s="627">
        <v>-911849.42</v>
      </c>
      <c r="R789" s="627"/>
      <c r="T789" s="631">
        <v>0</v>
      </c>
      <c r="U789" s="631"/>
      <c r="V789" s="631"/>
      <c r="Y789" s="631">
        <v>16372.31</v>
      </c>
      <c r="Z789" s="631"/>
      <c r="AA789" s="631"/>
      <c r="AB789" s="631"/>
      <c r="AC789" s="631"/>
      <c r="AD789" s="631"/>
      <c r="AF789" s="627">
        <v>-928221.73</v>
      </c>
      <c r="AG789" s="627"/>
      <c r="AH789" s="627"/>
      <c r="AI789" s="627"/>
      <c r="AJ789" s="627"/>
      <c r="AK789" s="627"/>
      <c r="AL789" s="627"/>
    </row>
    <row r="790" spans="1:38" ht="11.1" customHeight="1" x14ac:dyDescent="0.25">
      <c r="A790" s="632" t="s">
        <v>4112</v>
      </c>
      <c r="B790" s="632"/>
      <c r="C790" s="632"/>
      <c r="H790" s="632" t="s">
        <v>1169</v>
      </c>
      <c r="I790" s="632"/>
      <c r="J790" s="632"/>
      <c r="K790" s="632"/>
      <c r="L790" s="632"/>
      <c r="M790" s="632"/>
      <c r="N790" s="632"/>
      <c r="O790" s="632"/>
      <c r="P790" s="632"/>
      <c r="Q790" s="633">
        <v>-205973558.28</v>
      </c>
      <c r="R790" s="633"/>
      <c r="T790" s="634">
        <v>13446805.890000001</v>
      </c>
      <c r="U790" s="634"/>
      <c r="V790" s="634"/>
      <c r="Y790" s="634">
        <v>0.01</v>
      </c>
      <c r="Z790" s="634"/>
      <c r="AA790" s="634"/>
      <c r="AB790" s="634"/>
      <c r="AC790" s="634"/>
      <c r="AD790" s="634"/>
      <c r="AF790" s="633">
        <v>-192526752.40000001</v>
      </c>
      <c r="AG790" s="633"/>
      <c r="AH790" s="633"/>
      <c r="AI790" s="633"/>
      <c r="AJ790" s="633"/>
      <c r="AK790" s="633"/>
      <c r="AL790" s="633"/>
    </row>
    <row r="791" spans="1:38" ht="11.1" customHeight="1" x14ac:dyDescent="0.25">
      <c r="A791" s="632" t="s">
        <v>4113</v>
      </c>
      <c r="B791" s="632"/>
      <c r="C791" s="632"/>
      <c r="I791" s="632" t="s">
        <v>847</v>
      </c>
      <c r="J791" s="632"/>
      <c r="K791" s="632"/>
      <c r="L791" s="632"/>
      <c r="M791" s="632"/>
      <c r="N791" s="632"/>
      <c r="O791" s="632"/>
      <c r="P791" s="632"/>
      <c r="Q791" s="633">
        <v>-205973558.28</v>
      </c>
      <c r="R791" s="633"/>
      <c r="T791" s="634">
        <v>13446805.890000001</v>
      </c>
      <c r="U791" s="634"/>
      <c r="V791" s="634"/>
      <c r="Y791" s="634">
        <v>0.01</v>
      </c>
      <c r="Z791" s="634"/>
      <c r="AA791" s="634"/>
      <c r="AB791" s="634"/>
      <c r="AC791" s="634"/>
      <c r="AD791" s="634"/>
      <c r="AF791" s="633">
        <v>-192526752.40000001</v>
      </c>
      <c r="AG791" s="633"/>
      <c r="AH791" s="633"/>
      <c r="AI791" s="633"/>
      <c r="AJ791" s="633"/>
      <c r="AK791" s="633"/>
      <c r="AL791" s="633"/>
    </row>
    <row r="792" spans="1:38" ht="11.1" customHeight="1" x14ac:dyDescent="0.25">
      <c r="A792" s="632" t="s">
        <v>4114</v>
      </c>
      <c r="B792" s="632"/>
      <c r="C792" s="632"/>
      <c r="J792" s="632" t="s">
        <v>847</v>
      </c>
      <c r="K792" s="632"/>
      <c r="L792" s="632"/>
      <c r="M792" s="632"/>
      <c r="N792" s="632"/>
      <c r="O792" s="632"/>
      <c r="P792" s="632"/>
      <c r="Q792" s="633">
        <v>-205973558.28</v>
      </c>
      <c r="R792" s="633"/>
      <c r="T792" s="634">
        <v>13446805.890000001</v>
      </c>
      <c r="U792" s="634"/>
      <c r="V792" s="634"/>
      <c r="Y792" s="634">
        <v>0.01</v>
      </c>
      <c r="Z792" s="634"/>
      <c r="AA792" s="634"/>
      <c r="AB792" s="634"/>
      <c r="AC792" s="634"/>
      <c r="AD792" s="634"/>
      <c r="AF792" s="633">
        <v>-192526752.40000001</v>
      </c>
      <c r="AG792" s="633"/>
      <c r="AH792" s="633"/>
      <c r="AI792" s="633"/>
      <c r="AJ792" s="633"/>
      <c r="AK792" s="633"/>
      <c r="AL792" s="633"/>
    </row>
    <row r="793" spans="1:38" ht="11.1" customHeight="1" x14ac:dyDescent="0.25">
      <c r="A793" s="630" t="s">
        <v>4115</v>
      </c>
      <c r="B793" s="630"/>
      <c r="C793" s="630"/>
      <c r="K793" s="630" t="s">
        <v>847</v>
      </c>
      <c r="L793" s="630"/>
      <c r="M793" s="630"/>
      <c r="N793" s="630"/>
      <c r="O793" s="630"/>
      <c r="P793" s="630"/>
      <c r="Q793" s="627">
        <v>-205973558.28</v>
      </c>
      <c r="R793" s="627"/>
      <c r="T793" s="631">
        <v>13446805.890000001</v>
      </c>
      <c r="U793" s="631"/>
      <c r="V793" s="631"/>
      <c r="Y793" s="631">
        <v>0.01</v>
      </c>
      <c r="Z793" s="631"/>
      <c r="AA793" s="631"/>
      <c r="AB793" s="631"/>
      <c r="AC793" s="631"/>
      <c r="AD793" s="631"/>
      <c r="AF793" s="627">
        <v>-192526752.40000001</v>
      </c>
      <c r="AG793" s="627"/>
      <c r="AH793" s="627"/>
      <c r="AI793" s="627"/>
      <c r="AJ793" s="627"/>
      <c r="AK793" s="627"/>
      <c r="AL793" s="627"/>
    </row>
    <row r="794" spans="1:38" ht="11.1" customHeight="1" x14ac:dyDescent="0.25">
      <c r="A794" s="630" t="s">
        <v>4116</v>
      </c>
      <c r="B794" s="630"/>
      <c r="C794" s="630"/>
      <c r="L794" s="630" t="s">
        <v>302</v>
      </c>
      <c r="M794" s="630"/>
      <c r="N794" s="630"/>
      <c r="O794" s="630"/>
      <c r="P794" s="630"/>
      <c r="Q794" s="627">
        <v>-205973558.28</v>
      </c>
      <c r="R794" s="627"/>
      <c r="T794" s="631">
        <v>13446805.890000001</v>
      </c>
      <c r="U794" s="631"/>
      <c r="V794" s="631"/>
      <c r="Y794" s="631">
        <v>0.01</v>
      </c>
      <c r="Z794" s="631"/>
      <c r="AA794" s="631"/>
      <c r="AB794" s="631"/>
      <c r="AC794" s="631"/>
      <c r="AD794" s="631"/>
      <c r="AF794" s="627">
        <v>-192526752.40000001</v>
      </c>
      <c r="AG794" s="627"/>
      <c r="AH794" s="627"/>
      <c r="AI794" s="627"/>
      <c r="AJ794" s="627"/>
      <c r="AK794" s="627"/>
      <c r="AL794" s="627"/>
    </row>
    <row r="795" spans="1:38" ht="11.1" customHeight="1" x14ac:dyDescent="0.25">
      <c r="A795" s="630" t="s">
        <v>4117</v>
      </c>
      <c r="B795" s="630"/>
      <c r="C795" s="630"/>
      <c r="M795" s="630" t="s">
        <v>2475</v>
      </c>
      <c r="N795" s="630"/>
      <c r="O795" s="630"/>
      <c r="P795" s="630"/>
      <c r="Q795" s="627">
        <v>-205973558.28</v>
      </c>
      <c r="R795" s="627"/>
      <c r="T795" s="631">
        <v>13446805.890000001</v>
      </c>
      <c r="U795" s="631"/>
      <c r="V795" s="631"/>
      <c r="Y795" s="631">
        <v>0.01</v>
      </c>
      <c r="Z795" s="631"/>
      <c r="AA795" s="631"/>
      <c r="AB795" s="631"/>
      <c r="AC795" s="631"/>
      <c r="AD795" s="631"/>
      <c r="AF795" s="627">
        <v>-192526752.40000001</v>
      </c>
      <c r="AG795" s="627"/>
      <c r="AH795" s="627"/>
      <c r="AI795" s="627"/>
      <c r="AJ795" s="627"/>
      <c r="AK795" s="627"/>
      <c r="AL795" s="627"/>
    </row>
    <row r="796" spans="1:38" ht="11.1" customHeight="1" x14ac:dyDescent="0.25">
      <c r="A796" s="632" t="s">
        <v>4118</v>
      </c>
      <c r="B796" s="632"/>
      <c r="C796" s="632"/>
      <c r="H796" s="632" t="s">
        <v>1213</v>
      </c>
      <c r="I796" s="632"/>
      <c r="J796" s="632"/>
      <c r="K796" s="632"/>
      <c r="L796" s="632"/>
      <c r="M796" s="632"/>
      <c r="N796" s="632"/>
      <c r="O796" s="632"/>
      <c r="P796" s="632"/>
      <c r="Q796" s="633">
        <v>-276964122.88</v>
      </c>
      <c r="R796" s="633"/>
      <c r="T796" s="634">
        <v>30911013.640000001</v>
      </c>
      <c r="U796" s="634"/>
      <c r="V796" s="634"/>
      <c r="Y796" s="634">
        <v>28910967.010000002</v>
      </c>
      <c r="Z796" s="634"/>
      <c r="AA796" s="634"/>
      <c r="AB796" s="634"/>
      <c r="AC796" s="634"/>
      <c r="AD796" s="634"/>
      <c r="AF796" s="633">
        <v>-274964076.25</v>
      </c>
      <c r="AG796" s="633"/>
      <c r="AH796" s="633"/>
      <c r="AI796" s="633"/>
      <c r="AJ796" s="633"/>
      <c r="AK796" s="633"/>
      <c r="AL796" s="633"/>
    </row>
    <row r="797" spans="1:38" ht="11.1" customHeight="1" x14ac:dyDescent="0.25">
      <c r="A797" s="632" t="s">
        <v>4119</v>
      </c>
      <c r="B797" s="632"/>
      <c r="C797" s="632"/>
      <c r="H797" s="632" t="s">
        <v>1215</v>
      </c>
      <c r="I797" s="632"/>
      <c r="J797" s="632"/>
      <c r="K797" s="632"/>
      <c r="L797" s="632"/>
      <c r="M797" s="632"/>
      <c r="N797" s="632"/>
      <c r="O797" s="632"/>
      <c r="P797" s="632"/>
      <c r="Q797" s="633">
        <v>-254431399.75</v>
      </c>
      <c r="R797" s="633"/>
      <c r="T797" s="634">
        <v>1481480.6</v>
      </c>
      <c r="U797" s="634"/>
      <c r="V797" s="634"/>
      <c r="Y797" s="634">
        <v>1481480.6</v>
      </c>
      <c r="Z797" s="634"/>
      <c r="AA797" s="634"/>
      <c r="AB797" s="634"/>
      <c r="AC797" s="634"/>
      <c r="AD797" s="634"/>
      <c r="AF797" s="633">
        <v>-254431399.75</v>
      </c>
      <c r="AG797" s="633"/>
      <c r="AH797" s="633"/>
      <c r="AI797" s="633"/>
      <c r="AJ797" s="633"/>
      <c r="AK797" s="633"/>
      <c r="AL797" s="633"/>
    </row>
    <row r="798" spans="1:38" ht="11.1" customHeight="1" x14ac:dyDescent="0.25">
      <c r="A798" s="632" t="s">
        <v>4120</v>
      </c>
      <c r="B798" s="632"/>
      <c r="C798" s="632"/>
      <c r="I798" s="632" t="s">
        <v>1217</v>
      </c>
      <c r="J798" s="632"/>
      <c r="K798" s="632"/>
      <c r="L798" s="632"/>
      <c r="M798" s="632"/>
      <c r="N798" s="632"/>
      <c r="O798" s="632"/>
      <c r="P798" s="632"/>
      <c r="Q798" s="633">
        <v>-254431399.75</v>
      </c>
      <c r="R798" s="633"/>
      <c r="T798" s="634">
        <v>1481480.6</v>
      </c>
      <c r="U798" s="634"/>
      <c r="V798" s="634"/>
      <c r="Y798" s="634">
        <v>1481480.6</v>
      </c>
      <c r="Z798" s="634"/>
      <c r="AA798" s="634"/>
      <c r="AB798" s="634"/>
      <c r="AC798" s="634"/>
      <c r="AD798" s="634"/>
      <c r="AF798" s="633">
        <v>-254431399.75</v>
      </c>
      <c r="AG798" s="633"/>
      <c r="AH798" s="633"/>
      <c r="AI798" s="633"/>
      <c r="AJ798" s="633"/>
      <c r="AK798" s="633"/>
      <c r="AL798" s="633"/>
    </row>
    <row r="799" spans="1:38" ht="11.1" customHeight="1" x14ac:dyDescent="0.25">
      <c r="A799" s="632" t="s">
        <v>4121</v>
      </c>
      <c r="B799" s="632"/>
      <c r="C799" s="632"/>
      <c r="J799" s="632" t="s">
        <v>1217</v>
      </c>
      <c r="K799" s="632"/>
      <c r="L799" s="632"/>
      <c r="M799" s="632"/>
      <c r="N799" s="632"/>
      <c r="O799" s="632"/>
      <c r="P799" s="632"/>
      <c r="Q799" s="633">
        <v>-254431399.75</v>
      </c>
      <c r="R799" s="633"/>
      <c r="T799" s="634">
        <v>1481480.6</v>
      </c>
      <c r="U799" s="634"/>
      <c r="V799" s="634"/>
      <c r="Y799" s="634">
        <v>1481480.6</v>
      </c>
      <c r="Z799" s="634"/>
      <c r="AA799" s="634"/>
      <c r="AB799" s="634"/>
      <c r="AC799" s="634"/>
      <c r="AD799" s="634"/>
      <c r="AF799" s="633">
        <v>-254431399.75</v>
      </c>
      <c r="AG799" s="633"/>
      <c r="AH799" s="633"/>
      <c r="AI799" s="633"/>
      <c r="AJ799" s="633"/>
      <c r="AK799" s="633"/>
      <c r="AL799" s="633"/>
    </row>
    <row r="800" spans="1:38" ht="11.1" customHeight="1" x14ac:dyDescent="0.25">
      <c r="A800" s="630" t="s">
        <v>4122</v>
      </c>
      <c r="B800" s="630"/>
      <c r="C800" s="630"/>
      <c r="K800" s="630" t="s">
        <v>1217</v>
      </c>
      <c r="L800" s="630"/>
      <c r="M800" s="630"/>
      <c r="N800" s="630"/>
      <c r="O800" s="630"/>
      <c r="P800" s="630"/>
      <c r="Q800" s="627">
        <v>-254431399.75</v>
      </c>
      <c r="R800" s="627"/>
      <c r="T800" s="631">
        <v>1481480.6</v>
      </c>
      <c r="U800" s="631"/>
      <c r="V800" s="631"/>
      <c r="Y800" s="631">
        <v>1481480.6</v>
      </c>
      <c r="Z800" s="631"/>
      <c r="AA800" s="631"/>
      <c r="AB800" s="631"/>
      <c r="AC800" s="631"/>
      <c r="AD800" s="631"/>
      <c r="AF800" s="627">
        <v>-254431399.75</v>
      </c>
      <c r="AG800" s="627"/>
      <c r="AH800" s="627"/>
      <c r="AI800" s="627"/>
      <c r="AJ800" s="627"/>
      <c r="AK800" s="627"/>
      <c r="AL800" s="627"/>
    </row>
    <row r="801" spans="1:38" ht="11.1" customHeight="1" x14ac:dyDescent="0.25">
      <c r="A801" s="630" t="s">
        <v>4123</v>
      </c>
      <c r="B801" s="630"/>
      <c r="C801" s="630"/>
      <c r="L801" s="630" t="s">
        <v>1217</v>
      </c>
      <c r="M801" s="630"/>
      <c r="N801" s="630"/>
      <c r="O801" s="630"/>
      <c r="P801" s="630"/>
      <c r="Q801" s="627">
        <v>-254431399.75</v>
      </c>
      <c r="R801" s="627"/>
      <c r="T801" s="631">
        <v>0</v>
      </c>
      <c r="U801" s="631"/>
      <c r="V801" s="631"/>
      <c r="Y801" s="631">
        <v>0</v>
      </c>
      <c r="Z801" s="631"/>
      <c r="AA801" s="631"/>
      <c r="AB801" s="631"/>
      <c r="AC801" s="631"/>
      <c r="AD801" s="631"/>
      <c r="AF801" s="627">
        <v>-254431399.75</v>
      </c>
      <c r="AG801" s="627"/>
      <c r="AH801" s="627"/>
      <c r="AI801" s="627"/>
      <c r="AJ801" s="627"/>
      <c r="AK801" s="627"/>
      <c r="AL801" s="627"/>
    </row>
    <row r="802" spans="1:38" ht="11.1" customHeight="1" x14ac:dyDescent="0.25">
      <c r="A802" s="630" t="s">
        <v>4124</v>
      </c>
      <c r="B802" s="630"/>
      <c r="C802" s="630"/>
      <c r="M802" s="630" t="s">
        <v>1217</v>
      </c>
      <c r="N802" s="630"/>
      <c r="O802" s="630"/>
      <c r="P802" s="630"/>
      <c r="Q802" s="627">
        <v>-254431399.75</v>
      </c>
      <c r="R802" s="627"/>
      <c r="T802" s="631">
        <v>0</v>
      </c>
      <c r="U802" s="631"/>
      <c r="V802" s="631"/>
      <c r="Y802" s="631">
        <v>0</v>
      </c>
      <c r="Z802" s="631"/>
      <c r="AA802" s="631"/>
      <c r="AB802" s="631"/>
      <c r="AC802" s="631"/>
      <c r="AD802" s="631"/>
      <c r="AF802" s="627">
        <v>-254431399.75</v>
      </c>
      <c r="AG802" s="627"/>
      <c r="AH802" s="627"/>
      <c r="AI802" s="627"/>
      <c r="AJ802" s="627"/>
      <c r="AK802" s="627"/>
      <c r="AL802" s="627"/>
    </row>
    <row r="803" spans="1:38" ht="11.1" customHeight="1" x14ac:dyDescent="0.25">
      <c r="A803" s="630" t="s">
        <v>4125</v>
      </c>
      <c r="B803" s="630"/>
      <c r="C803" s="630"/>
      <c r="L803" s="630" t="s">
        <v>302</v>
      </c>
      <c r="M803" s="630"/>
      <c r="N803" s="630"/>
      <c r="O803" s="630"/>
      <c r="P803" s="630"/>
      <c r="Q803" s="627">
        <v>0</v>
      </c>
      <c r="R803" s="627"/>
      <c r="T803" s="631">
        <v>1481480.6</v>
      </c>
      <c r="U803" s="631"/>
      <c r="V803" s="631"/>
      <c r="Y803" s="631">
        <v>1481480.6</v>
      </c>
      <c r="Z803" s="631"/>
      <c r="AA803" s="631"/>
      <c r="AB803" s="631"/>
      <c r="AC803" s="631"/>
      <c r="AD803" s="631"/>
      <c r="AF803" s="627">
        <v>0</v>
      </c>
      <c r="AG803" s="627"/>
      <c r="AH803" s="627"/>
      <c r="AI803" s="627"/>
      <c r="AJ803" s="627"/>
      <c r="AK803" s="627"/>
      <c r="AL803" s="627"/>
    </row>
    <row r="804" spans="1:38" ht="11.1" customHeight="1" x14ac:dyDescent="0.25">
      <c r="A804" s="630" t="s">
        <v>4126</v>
      </c>
      <c r="B804" s="630"/>
      <c r="C804" s="630"/>
      <c r="M804" s="630" t="s">
        <v>1224</v>
      </c>
      <c r="N804" s="630"/>
      <c r="O804" s="630"/>
      <c r="P804" s="630"/>
      <c r="Q804" s="627">
        <v>0</v>
      </c>
      <c r="R804" s="627"/>
      <c r="T804" s="631">
        <v>1481480.6</v>
      </c>
      <c r="U804" s="631"/>
      <c r="V804" s="631"/>
      <c r="Y804" s="631">
        <v>1481480.6</v>
      </c>
      <c r="Z804" s="631"/>
      <c r="AA804" s="631"/>
      <c r="AB804" s="631"/>
      <c r="AC804" s="631"/>
      <c r="AD804" s="631"/>
      <c r="AF804" s="627">
        <v>0</v>
      </c>
      <c r="AG804" s="627"/>
      <c r="AH804" s="627"/>
      <c r="AI804" s="627"/>
      <c r="AJ804" s="627"/>
      <c r="AK804" s="627"/>
      <c r="AL804" s="627"/>
    </row>
    <row r="805" spans="1:38" ht="11.1" customHeight="1" x14ac:dyDescent="0.25">
      <c r="A805" s="632" t="s">
        <v>4127</v>
      </c>
      <c r="B805" s="632"/>
      <c r="C805" s="632"/>
      <c r="H805" s="632" t="s">
        <v>1226</v>
      </c>
      <c r="I805" s="632"/>
      <c r="J805" s="632"/>
      <c r="K805" s="632"/>
      <c r="L805" s="632"/>
      <c r="M805" s="632"/>
      <c r="N805" s="632"/>
      <c r="O805" s="632"/>
      <c r="P805" s="632"/>
      <c r="Q805" s="633">
        <v>-67253851.689999998</v>
      </c>
      <c r="R805" s="633"/>
      <c r="T805" s="634">
        <v>0</v>
      </c>
      <c r="U805" s="634"/>
      <c r="V805" s="634"/>
      <c r="Y805" s="634">
        <v>15893485.869999999</v>
      </c>
      <c r="Z805" s="634"/>
      <c r="AA805" s="634"/>
      <c r="AB805" s="634"/>
      <c r="AC805" s="634"/>
      <c r="AD805" s="634"/>
      <c r="AF805" s="633">
        <v>-83147337.560000002</v>
      </c>
      <c r="AG805" s="633"/>
      <c r="AH805" s="633"/>
      <c r="AI805" s="633"/>
      <c r="AJ805" s="633"/>
      <c r="AK805" s="633"/>
      <c r="AL805" s="633"/>
    </row>
    <row r="806" spans="1:38" ht="11.1" customHeight="1" x14ac:dyDescent="0.25">
      <c r="A806" s="632" t="s">
        <v>4128</v>
      </c>
      <c r="B806" s="632"/>
      <c r="C806" s="632"/>
      <c r="I806" s="632" t="s">
        <v>1228</v>
      </c>
      <c r="J806" s="632"/>
      <c r="K806" s="632"/>
      <c r="L806" s="632"/>
      <c r="M806" s="632"/>
      <c r="N806" s="632"/>
      <c r="O806" s="632"/>
      <c r="P806" s="632"/>
      <c r="Q806" s="633">
        <v>-13226874.439999999</v>
      </c>
      <c r="R806" s="633"/>
      <c r="T806" s="634">
        <v>0</v>
      </c>
      <c r="U806" s="634"/>
      <c r="V806" s="634"/>
      <c r="Y806" s="634">
        <v>1513665.32</v>
      </c>
      <c r="Z806" s="634"/>
      <c r="AA806" s="634"/>
      <c r="AB806" s="634"/>
      <c r="AC806" s="634"/>
      <c r="AD806" s="634"/>
      <c r="AF806" s="633">
        <v>-14740539.76</v>
      </c>
      <c r="AG806" s="633"/>
      <c r="AH806" s="633"/>
      <c r="AI806" s="633"/>
      <c r="AJ806" s="633"/>
      <c r="AK806" s="633"/>
      <c r="AL806" s="633"/>
    </row>
    <row r="807" spans="1:38" ht="11.1" customHeight="1" x14ac:dyDescent="0.25">
      <c r="A807" s="632" t="s">
        <v>4129</v>
      </c>
      <c r="B807" s="632"/>
      <c r="C807" s="632"/>
      <c r="J807" s="632" t="s">
        <v>1228</v>
      </c>
      <c r="K807" s="632"/>
      <c r="L807" s="632"/>
      <c r="M807" s="632"/>
      <c r="N807" s="632"/>
      <c r="O807" s="632"/>
      <c r="P807" s="632"/>
      <c r="Q807" s="633">
        <v>-13226874.439999999</v>
      </c>
      <c r="R807" s="633"/>
      <c r="T807" s="634">
        <v>0</v>
      </c>
      <c r="U807" s="634"/>
      <c r="V807" s="634"/>
      <c r="Y807" s="634">
        <v>1513665.32</v>
      </c>
      <c r="Z807" s="634"/>
      <c r="AA807" s="634"/>
      <c r="AB807" s="634"/>
      <c r="AC807" s="634"/>
      <c r="AD807" s="634"/>
      <c r="AF807" s="633">
        <v>-14740539.76</v>
      </c>
      <c r="AG807" s="633"/>
      <c r="AH807" s="633"/>
      <c r="AI807" s="633"/>
      <c r="AJ807" s="633"/>
      <c r="AK807" s="633"/>
      <c r="AL807" s="633"/>
    </row>
    <row r="808" spans="1:38" ht="11.1" customHeight="1" x14ac:dyDescent="0.25">
      <c r="A808" s="630" t="s">
        <v>4130</v>
      </c>
      <c r="B808" s="630"/>
      <c r="C808" s="630"/>
      <c r="K808" s="630" t="s">
        <v>1228</v>
      </c>
      <c r="L808" s="630"/>
      <c r="M808" s="630"/>
      <c r="N808" s="630"/>
      <c r="O808" s="630"/>
      <c r="P808" s="630"/>
      <c r="Q808" s="627">
        <v>-13226874.439999999</v>
      </c>
      <c r="R808" s="627"/>
      <c r="T808" s="631">
        <v>0</v>
      </c>
      <c r="U808" s="631"/>
      <c r="V808" s="631"/>
      <c r="Y808" s="631">
        <v>1513665.32</v>
      </c>
      <c r="Z808" s="631"/>
      <c r="AA808" s="631"/>
      <c r="AB808" s="631"/>
      <c r="AC808" s="631"/>
      <c r="AD808" s="631"/>
      <c r="AF808" s="627">
        <v>-14740539.76</v>
      </c>
      <c r="AG808" s="627"/>
      <c r="AH808" s="627"/>
      <c r="AI808" s="627"/>
      <c r="AJ808" s="627"/>
      <c r="AK808" s="627"/>
      <c r="AL808" s="627"/>
    </row>
    <row r="809" spans="1:38" ht="11.1" customHeight="1" x14ac:dyDescent="0.25">
      <c r="A809" s="630" t="s">
        <v>4131</v>
      </c>
      <c r="B809" s="630"/>
      <c r="C809" s="630"/>
      <c r="L809" s="630" t="s">
        <v>1228</v>
      </c>
      <c r="M809" s="630"/>
      <c r="N809" s="630"/>
      <c r="O809" s="630"/>
      <c r="P809" s="630"/>
      <c r="Q809" s="627">
        <v>-13226874.439999999</v>
      </c>
      <c r="R809" s="627"/>
      <c r="T809" s="631">
        <v>0</v>
      </c>
      <c r="U809" s="631"/>
      <c r="V809" s="631"/>
      <c r="Y809" s="631">
        <v>1513665.32</v>
      </c>
      <c r="Z809" s="631"/>
      <c r="AA809" s="631"/>
      <c r="AB809" s="631"/>
      <c r="AC809" s="631"/>
      <c r="AD809" s="631"/>
      <c r="AF809" s="627">
        <v>-14740539.76</v>
      </c>
      <c r="AG809" s="627"/>
      <c r="AH809" s="627"/>
      <c r="AI809" s="627"/>
      <c r="AJ809" s="627"/>
      <c r="AK809" s="627"/>
      <c r="AL809" s="627"/>
    </row>
    <row r="810" spans="1:38" ht="11.1" customHeight="1" x14ac:dyDescent="0.25">
      <c r="A810" s="630" t="s">
        <v>4132</v>
      </c>
      <c r="B810" s="630"/>
      <c r="C810" s="630"/>
      <c r="M810" s="630" t="s">
        <v>1228</v>
      </c>
      <c r="N810" s="630"/>
      <c r="O810" s="630"/>
      <c r="P810" s="630"/>
      <c r="Q810" s="627">
        <v>-13226874.439999999</v>
      </c>
      <c r="R810" s="627"/>
      <c r="T810" s="631">
        <v>0</v>
      </c>
      <c r="U810" s="631"/>
      <c r="V810" s="631"/>
      <c r="Y810" s="631">
        <v>1513665.32</v>
      </c>
      <c r="Z810" s="631"/>
      <c r="AA810" s="631"/>
      <c r="AB810" s="631"/>
      <c r="AC810" s="631"/>
      <c r="AD810" s="631"/>
      <c r="AF810" s="627">
        <v>-14740539.76</v>
      </c>
      <c r="AG810" s="627"/>
      <c r="AH810" s="627"/>
      <c r="AI810" s="627"/>
      <c r="AJ810" s="627"/>
      <c r="AK810" s="627"/>
      <c r="AL810" s="627"/>
    </row>
    <row r="811" spans="1:38" ht="11.1" customHeight="1" x14ac:dyDescent="0.25">
      <c r="A811" s="632" t="s">
        <v>4133</v>
      </c>
      <c r="B811" s="632"/>
      <c r="C811" s="632"/>
      <c r="I811" s="632" t="s">
        <v>1234</v>
      </c>
      <c r="J811" s="632"/>
      <c r="K811" s="632"/>
      <c r="L811" s="632"/>
      <c r="M811" s="632"/>
      <c r="N811" s="632"/>
      <c r="O811" s="632"/>
      <c r="P811" s="632"/>
      <c r="Q811" s="633">
        <v>-3668181.42</v>
      </c>
      <c r="R811" s="633"/>
      <c r="T811" s="634">
        <v>0</v>
      </c>
      <c r="U811" s="634"/>
      <c r="V811" s="634"/>
      <c r="Y811" s="634">
        <v>0</v>
      </c>
      <c r="Z811" s="634"/>
      <c r="AA811" s="634"/>
      <c r="AB811" s="634"/>
      <c r="AC811" s="634"/>
      <c r="AD811" s="634"/>
      <c r="AF811" s="633">
        <v>-3668181.42</v>
      </c>
      <c r="AG811" s="633"/>
      <c r="AH811" s="633"/>
      <c r="AI811" s="633"/>
      <c r="AJ811" s="633"/>
      <c r="AK811" s="633"/>
      <c r="AL811" s="633"/>
    </row>
    <row r="812" spans="1:38" ht="11.1" customHeight="1" x14ac:dyDescent="0.25">
      <c r="A812" s="632" t="s">
        <v>4134</v>
      </c>
      <c r="B812" s="632"/>
      <c r="C812" s="632"/>
      <c r="J812" s="632" t="s">
        <v>1234</v>
      </c>
      <c r="K812" s="632"/>
      <c r="L812" s="632"/>
      <c r="M812" s="632"/>
      <c r="N812" s="632"/>
      <c r="O812" s="632"/>
      <c r="P812" s="632"/>
      <c r="Q812" s="633">
        <v>-3668181.42</v>
      </c>
      <c r="R812" s="633"/>
      <c r="T812" s="634">
        <v>0</v>
      </c>
      <c r="U812" s="634"/>
      <c r="V812" s="634"/>
      <c r="Y812" s="634">
        <v>0</v>
      </c>
      <c r="Z812" s="634"/>
      <c r="AA812" s="634"/>
      <c r="AB812" s="634"/>
      <c r="AC812" s="634"/>
      <c r="AD812" s="634"/>
      <c r="AF812" s="633">
        <v>-3668181.42</v>
      </c>
      <c r="AG812" s="633"/>
      <c r="AH812" s="633"/>
      <c r="AI812" s="633"/>
      <c r="AJ812" s="633"/>
      <c r="AK812" s="633"/>
      <c r="AL812" s="633"/>
    </row>
    <row r="813" spans="1:38" ht="11.1" customHeight="1" x14ac:dyDescent="0.25">
      <c r="A813" s="630" t="s">
        <v>4135</v>
      </c>
      <c r="B813" s="630"/>
      <c r="C813" s="630"/>
      <c r="K813" s="630" t="s">
        <v>1234</v>
      </c>
      <c r="L813" s="630"/>
      <c r="M813" s="630"/>
      <c r="N813" s="630"/>
      <c r="O813" s="630"/>
      <c r="P813" s="630"/>
      <c r="Q813" s="627">
        <v>-3668181.42</v>
      </c>
      <c r="R813" s="627"/>
      <c r="T813" s="631">
        <v>0</v>
      </c>
      <c r="U813" s="631"/>
      <c r="V813" s="631"/>
      <c r="Y813" s="631">
        <v>0</v>
      </c>
      <c r="Z813" s="631"/>
      <c r="AA813" s="631"/>
      <c r="AB813" s="631"/>
      <c r="AC813" s="631"/>
      <c r="AD813" s="631"/>
      <c r="AF813" s="627">
        <v>-3668181.42</v>
      </c>
      <c r="AG813" s="627"/>
      <c r="AH813" s="627"/>
      <c r="AI813" s="627"/>
      <c r="AJ813" s="627"/>
      <c r="AK813" s="627"/>
      <c r="AL813" s="627"/>
    </row>
    <row r="814" spans="1:38" ht="11.1" customHeight="1" x14ac:dyDescent="0.25">
      <c r="A814" s="630" t="s">
        <v>4136</v>
      </c>
      <c r="B814" s="630"/>
      <c r="C814" s="630"/>
      <c r="L814" s="630" t="s">
        <v>1234</v>
      </c>
      <c r="M814" s="630"/>
      <c r="N814" s="630"/>
      <c r="O814" s="630"/>
      <c r="P814" s="630"/>
      <c r="Q814" s="627">
        <v>-3668181.42</v>
      </c>
      <c r="R814" s="627"/>
      <c r="T814" s="631">
        <v>0</v>
      </c>
      <c r="U814" s="631"/>
      <c r="V814" s="631"/>
      <c r="Y814" s="631">
        <v>0</v>
      </c>
      <c r="Z814" s="631"/>
      <c r="AA814" s="631"/>
      <c r="AB814" s="631"/>
      <c r="AC814" s="631"/>
      <c r="AD814" s="631"/>
      <c r="AF814" s="627">
        <v>-3668181.42</v>
      </c>
      <c r="AG814" s="627"/>
      <c r="AH814" s="627"/>
      <c r="AI814" s="627"/>
      <c r="AJ814" s="627"/>
      <c r="AK814" s="627"/>
      <c r="AL814" s="627"/>
    </row>
    <row r="815" spans="1:38" ht="11.1" customHeight="1" x14ac:dyDescent="0.25">
      <c r="A815" s="630" t="s">
        <v>4137</v>
      </c>
      <c r="B815" s="630"/>
      <c r="C815" s="630"/>
      <c r="M815" s="630" t="s">
        <v>1239</v>
      </c>
      <c r="N815" s="630"/>
      <c r="O815" s="630"/>
      <c r="P815" s="630"/>
      <c r="Q815" s="627">
        <v>-3668181.42</v>
      </c>
      <c r="R815" s="627"/>
      <c r="T815" s="631">
        <v>0</v>
      </c>
      <c r="U815" s="631"/>
      <c r="V815" s="631"/>
      <c r="Y815" s="631">
        <v>0</v>
      </c>
      <c r="Z815" s="631"/>
      <c r="AA815" s="631"/>
      <c r="AB815" s="631"/>
      <c r="AC815" s="631"/>
      <c r="AD815" s="631"/>
      <c r="AF815" s="627">
        <v>-3668181.42</v>
      </c>
      <c r="AG815" s="627"/>
      <c r="AH815" s="627"/>
      <c r="AI815" s="627"/>
      <c r="AJ815" s="627"/>
      <c r="AK815" s="627"/>
      <c r="AL815" s="627"/>
    </row>
    <row r="816" spans="1:38" ht="11.1" customHeight="1" x14ac:dyDescent="0.25">
      <c r="A816" s="632" t="s">
        <v>4138</v>
      </c>
      <c r="B816" s="632"/>
      <c r="C816" s="632"/>
      <c r="I816" s="632" t="s">
        <v>331</v>
      </c>
      <c r="J816" s="632"/>
      <c r="K816" s="632"/>
      <c r="L816" s="632"/>
      <c r="M816" s="632"/>
      <c r="N816" s="632"/>
      <c r="O816" s="632"/>
      <c r="P816" s="632"/>
      <c r="Q816" s="633">
        <v>-50358795.829999998</v>
      </c>
      <c r="R816" s="633"/>
      <c r="T816" s="634">
        <v>0</v>
      </c>
      <c r="U816" s="634"/>
      <c r="V816" s="634"/>
      <c r="Y816" s="634">
        <v>14379820.550000001</v>
      </c>
      <c r="Z816" s="634"/>
      <c r="AA816" s="634"/>
      <c r="AB816" s="634"/>
      <c r="AC816" s="634"/>
      <c r="AD816" s="634"/>
      <c r="AF816" s="633">
        <v>-64738616.380000003</v>
      </c>
      <c r="AG816" s="633"/>
      <c r="AH816" s="633"/>
      <c r="AI816" s="633"/>
      <c r="AJ816" s="633"/>
      <c r="AK816" s="633"/>
      <c r="AL816" s="633"/>
    </row>
    <row r="817" spans="1:38" ht="11.1" customHeight="1" x14ac:dyDescent="0.25">
      <c r="A817" s="632" t="s">
        <v>4139</v>
      </c>
      <c r="B817" s="632"/>
      <c r="C817" s="632"/>
      <c r="J817" s="632" t="s">
        <v>1242</v>
      </c>
      <c r="K817" s="632"/>
      <c r="L817" s="632"/>
      <c r="M817" s="632"/>
      <c r="N817" s="632"/>
      <c r="O817" s="632"/>
      <c r="P817" s="632"/>
      <c r="Q817" s="633">
        <v>-50358795.829999998</v>
      </c>
      <c r="R817" s="633"/>
      <c r="T817" s="634">
        <v>0</v>
      </c>
      <c r="U817" s="634"/>
      <c r="V817" s="634"/>
      <c r="Y817" s="634">
        <v>14379820.550000001</v>
      </c>
      <c r="Z817" s="634"/>
      <c r="AA817" s="634"/>
      <c r="AB817" s="634"/>
      <c r="AC817" s="634"/>
      <c r="AD817" s="634"/>
      <c r="AF817" s="633">
        <v>-64738616.380000003</v>
      </c>
      <c r="AG817" s="633"/>
      <c r="AH817" s="633"/>
      <c r="AI817" s="633"/>
      <c r="AJ817" s="633"/>
      <c r="AK817" s="633"/>
      <c r="AL817" s="633"/>
    </row>
    <row r="818" spans="1:38" ht="11.1" customHeight="1" x14ac:dyDescent="0.25">
      <c r="A818" s="630" t="s">
        <v>4140</v>
      </c>
      <c r="B818" s="630"/>
      <c r="C818" s="630"/>
      <c r="K818" s="630" t="s">
        <v>1242</v>
      </c>
      <c r="L818" s="630"/>
      <c r="M818" s="630"/>
      <c r="N818" s="630"/>
      <c r="O818" s="630"/>
      <c r="P818" s="630"/>
      <c r="Q818" s="627">
        <v>-50358795.829999998</v>
      </c>
      <c r="R818" s="627"/>
      <c r="T818" s="631">
        <v>0</v>
      </c>
      <c r="U818" s="631"/>
      <c r="V818" s="631"/>
      <c r="Y818" s="631">
        <v>14379820.550000001</v>
      </c>
      <c r="Z818" s="631"/>
      <c r="AA818" s="631"/>
      <c r="AB818" s="631"/>
      <c r="AC818" s="631"/>
      <c r="AD818" s="631"/>
      <c r="AF818" s="627">
        <v>-64738616.380000003</v>
      </c>
      <c r="AG818" s="627"/>
      <c r="AH818" s="627"/>
      <c r="AI818" s="627"/>
      <c r="AJ818" s="627"/>
      <c r="AK818" s="627"/>
      <c r="AL818" s="627"/>
    </row>
    <row r="819" spans="1:38" ht="11.1" customHeight="1" x14ac:dyDescent="0.25">
      <c r="A819" s="630" t="s">
        <v>4141</v>
      </c>
      <c r="B819" s="630"/>
      <c r="C819" s="630"/>
      <c r="L819" s="630" t="s">
        <v>1242</v>
      </c>
      <c r="M819" s="630"/>
      <c r="N819" s="630"/>
      <c r="O819" s="630"/>
      <c r="P819" s="630"/>
      <c r="Q819" s="627">
        <v>-119074055.63</v>
      </c>
      <c r="R819" s="627"/>
      <c r="T819" s="631">
        <v>0</v>
      </c>
      <c r="U819" s="631"/>
      <c r="V819" s="631"/>
      <c r="Y819" s="631">
        <v>14379820.550000001</v>
      </c>
      <c r="Z819" s="631"/>
      <c r="AA819" s="631"/>
      <c r="AB819" s="631"/>
      <c r="AC819" s="631"/>
      <c r="AD819" s="631"/>
      <c r="AF819" s="627">
        <v>-133453876.18000001</v>
      </c>
      <c r="AG819" s="627"/>
      <c r="AH819" s="627"/>
      <c r="AI819" s="627"/>
      <c r="AJ819" s="627"/>
      <c r="AK819" s="627"/>
      <c r="AL819" s="627"/>
    </row>
    <row r="820" spans="1:38" ht="11.1" customHeight="1" x14ac:dyDescent="0.25">
      <c r="A820" s="630" t="s">
        <v>4142</v>
      </c>
      <c r="B820" s="630"/>
      <c r="C820" s="630"/>
      <c r="M820" s="630" t="s">
        <v>1246</v>
      </c>
      <c r="N820" s="630"/>
      <c r="O820" s="630"/>
      <c r="P820" s="630"/>
      <c r="Q820" s="627">
        <v>-14560428.619999999</v>
      </c>
      <c r="R820" s="627"/>
      <c r="T820" s="631">
        <v>0</v>
      </c>
      <c r="U820" s="631"/>
      <c r="V820" s="631"/>
      <c r="Y820" s="631">
        <v>0</v>
      </c>
      <c r="Z820" s="631"/>
      <c r="AA820" s="631"/>
      <c r="AB820" s="631"/>
      <c r="AC820" s="631"/>
      <c r="AD820" s="631"/>
      <c r="AF820" s="627">
        <v>-14560428.619999999</v>
      </c>
      <c r="AG820" s="627"/>
      <c r="AH820" s="627"/>
      <c r="AI820" s="627"/>
      <c r="AJ820" s="627"/>
      <c r="AK820" s="627"/>
      <c r="AL820" s="627"/>
    </row>
    <row r="821" spans="1:38" ht="11.1" customHeight="1" x14ac:dyDescent="0.25">
      <c r="A821" s="630" t="s">
        <v>4143</v>
      </c>
      <c r="B821" s="630"/>
      <c r="C821" s="630"/>
      <c r="M821" s="630" t="s">
        <v>1248</v>
      </c>
      <c r="N821" s="630"/>
      <c r="O821" s="630"/>
      <c r="P821" s="630"/>
      <c r="Q821" s="627">
        <v>-26213500</v>
      </c>
      <c r="R821" s="627"/>
      <c r="T821" s="631">
        <v>0</v>
      </c>
      <c r="U821" s="631"/>
      <c r="V821" s="631"/>
      <c r="Y821" s="631">
        <v>0</v>
      </c>
      <c r="Z821" s="631"/>
      <c r="AA821" s="631"/>
      <c r="AB821" s="631"/>
      <c r="AC821" s="631"/>
      <c r="AD821" s="631"/>
      <c r="AF821" s="627">
        <v>-26213500</v>
      </c>
      <c r="AG821" s="627"/>
      <c r="AH821" s="627"/>
      <c r="AI821" s="627"/>
      <c r="AJ821" s="627"/>
      <c r="AK821" s="627"/>
      <c r="AL821" s="627"/>
    </row>
    <row r="822" spans="1:38" ht="11.1" customHeight="1" x14ac:dyDescent="0.25">
      <c r="A822" s="630" t="s">
        <v>4144</v>
      </c>
      <c r="B822" s="630"/>
      <c r="C822" s="630"/>
      <c r="M822" s="630" t="s">
        <v>1250</v>
      </c>
      <c r="N822" s="630"/>
      <c r="O822" s="630"/>
      <c r="P822" s="630"/>
      <c r="Q822" s="627">
        <v>-6564267.0999999996</v>
      </c>
      <c r="R822" s="627"/>
      <c r="T822" s="631">
        <v>0</v>
      </c>
      <c r="U822" s="631"/>
      <c r="V822" s="631"/>
      <c r="Y822" s="631">
        <v>0</v>
      </c>
      <c r="Z822" s="631"/>
      <c r="AA822" s="631"/>
      <c r="AB822" s="631"/>
      <c r="AC822" s="631"/>
      <c r="AD822" s="631"/>
      <c r="AF822" s="627">
        <v>-6564267.0999999996</v>
      </c>
      <c r="AG822" s="627"/>
      <c r="AH822" s="627"/>
      <c r="AI822" s="627"/>
      <c r="AJ822" s="627"/>
      <c r="AK822" s="627"/>
      <c r="AL822" s="627"/>
    </row>
    <row r="823" spans="1:38" ht="11.1" customHeight="1" x14ac:dyDescent="0.25">
      <c r="A823" s="630" t="s">
        <v>4145</v>
      </c>
      <c r="B823" s="630"/>
      <c r="C823" s="630"/>
      <c r="M823" s="630" t="s">
        <v>1252</v>
      </c>
      <c r="N823" s="630"/>
      <c r="O823" s="630"/>
      <c r="P823" s="630"/>
      <c r="Q823" s="627">
        <v>-8953826.1600000001</v>
      </c>
      <c r="R823" s="627"/>
      <c r="T823" s="631">
        <v>0</v>
      </c>
      <c r="U823" s="631"/>
      <c r="V823" s="631"/>
      <c r="Y823" s="631">
        <v>0</v>
      </c>
      <c r="Z823" s="631"/>
      <c r="AA823" s="631"/>
      <c r="AB823" s="631"/>
      <c r="AC823" s="631"/>
      <c r="AD823" s="631"/>
      <c r="AF823" s="627">
        <v>-8953826.1600000001</v>
      </c>
      <c r="AG823" s="627"/>
      <c r="AH823" s="627"/>
      <c r="AI823" s="627"/>
      <c r="AJ823" s="627"/>
      <c r="AK823" s="627"/>
      <c r="AL823" s="627"/>
    </row>
    <row r="824" spans="1:38" ht="11.1" customHeight="1" x14ac:dyDescent="0.25">
      <c r="A824" s="630" t="s">
        <v>4146</v>
      </c>
      <c r="B824" s="630"/>
      <c r="C824" s="630"/>
      <c r="M824" s="630" t="s">
        <v>1254</v>
      </c>
      <c r="N824" s="630"/>
      <c r="O824" s="630"/>
      <c r="P824" s="630"/>
      <c r="Q824" s="627">
        <v>-10465103.539999999</v>
      </c>
      <c r="R824" s="627"/>
      <c r="T824" s="631">
        <v>0</v>
      </c>
      <c r="U824" s="631"/>
      <c r="V824" s="631"/>
      <c r="Y824" s="631">
        <v>0</v>
      </c>
      <c r="Z824" s="631"/>
      <c r="AA824" s="631"/>
      <c r="AB824" s="631"/>
      <c r="AC824" s="631"/>
      <c r="AD824" s="631"/>
      <c r="AF824" s="627">
        <v>-10465103.539999999</v>
      </c>
      <c r="AG824" s="627"/>
      <c r="AH824" s="627"/>
      <c r="AI824" s="627"/>
      <c r="AJ824" s="627"/>
      <c r="AK824" s="627"/>
      <c r="AL824" s="627"/>
    </row>
    <row r="825" spans="1:38" ht="11.1" customHeight="1" x14ac:dyDescent="0.25">
      <c r="A825" s="630" t="s">
        <v>4147</v>
      </c>
      <c r="B825" s="630"/>
      <c r="C825" s="630"/>
      <c r="M825" s="630" t="s">
        <v>1256</v>
      </c>
      <c r="N825" s="630"/>
      <c r="O825" s="630"/>
      <c r="P825" s="630"/>
      <c r="Q825" s="627">
        <v>-7073876.9299999997</v>
      </c>
      <c r="R825" s="627"/>
      <c r="T825" s="631">
        <v>0</v>
      </c>
      <c r="U825" s="631"/>
      <c r="V825" s="631"/>
      <c r="Y825" s="631">
        <v>0</v>
      </c>
      <c r="Z825" s="631"/>
      <c r="AA825" s="631"/>
      <c r="AB825" s="631"/>
      <c r="AC825" s="631"/>
      <c r="AD825" s="631"/>
      <c r="AF825" s="627">
        <v>-7073876.9299999997</v>
      </c>
      <c r="AG825" s="627"/>
      <c r="AH825" s="627"/>
      <c r="AI825" s="627"/>
      <c r="AJ825" s="627"/>
      <c r="AK825" s="627"/>
      <c r="AL825" s="627"/>
    </row>
    <row r="826" spans="1:38" ht="11.1" customHeight="1" x14ac:dyDescent="0.25">
      <c r="A826" s="630" t="s">
        <v>4148</v>
      </c>
      <c r="B826" s="630"/>
      <c r="C826" s="630"/>
      <c r="M826" s="630" t="s">
        <v>2242</v>
      </c>
      <c r="N826" s="630"/>
      <c r="O826" s="630"/>
      <c r="P826" s="630"/>
      <c r="Q826" s="627">
        <v>-17710026.75</v>
      </c>
      <c r="R826" s="627"/>
      <c r="T826" s="631">
        <v>0</v>
      </c>
      <c r="U826" s="631"/>
      <c r="V826" s="631"/>
      <c r="Y826" s="631">
        <v>0</v>
      </c>
      <c r="Z826" s="631"/>
      <c r="AA826" s="631"/>
      <c r="AB826" s="631"/>
      <c r="AC826" s="631"/>
      <c r="AD826" s="631"/>
      <c r="AF826" s="627">
        <v>-17710026.75</v>
      </c>
      <c r="AG826" s="627"/>
      <c r="AH826" s="627"/>
      <c r="AI826" s="627"/>
      <c r="AJ826" s="627"/>
      <c r="AK826" s="627"/>
      <c r="AL826" s="627"/>
    </row>
    <row r="827" spans="1:38" ht="11.1" customHeight="1" x14ac:dyDescent="0.25">
      <c r="A827" s="630" t="s">
        <v>4149</v>
      </c>
      <c r="B827" s="630"/>
      <c r="C827" s="630"/>
      <c r="M827" s="630" t="s">
        <v>236</v>
      </c>
      <c r="N827" s="630"/>
      <c r="O827" s="630"/>
      <c r="P827" s="630"/>
      <c r="Q827" s="627">
        <v>-12012246.5</v>
      </c>
      <c r="R827" s="627"/>
      <c r="T827" s="631">
        <v>0</v>
      </c>
      <c r="U827" s="631"/>
      <c r="V827" s="631"/>
      <c r="Y827" s="631">
        <v>0</v>
      </c>
      <c r="Z827" s="631"/>
      <c r="AA827" s="631"/>
      <c r="AB827" s="631"/>
      <c r="AC827" s="631"/>
      <c r="AD827" s="631"/>
      <c r="AF827" s="627">
        <v>-12012246.5</v>
      </c>
      <c r="AG827" s="627"/>
      <c r="AH827" s="627"/>
      <c r="AI827" s="627"/>
      <c r="AJ827" s="627"/>
      <c r="AK827" s="627"/>
      <c r="AL827" s="627"/>
    </row>
    <row r="828" spans="1:38" ht="11.1" customHeight="1" x14ac:dyDescent="0.25">
      <c r="A828" s="630" t="s">
        <v>4150</v>
      </c>
      <c r="B828" s="630"/>
      <c r="C828" s="630"/>
      <c r="M828" s="630" t="s">
        <v>237</v>
      </c>
      <c r="N828" s="630"/>
      <c r="O828" s="630"/>
      <c r="P828" s="630"/>
      <c r="Q828" s="627">
        <v>-4324408.55</v>
      </c>
      <c r="R828" s="627"/>
      <c r="T828" s="631">
        <v>0</v>
      </c>
      <c r="U828" s="631"/>
      <c r="V828" s="631"/>
      <c r="Y828" s="631">
        <v>0</v>
      </c>
      <c r="Z828" s="631"/>
      <c r="AA828" s="631"/>
      <c r="AB828" s="631"/>
      <c r="AC828" s="631"/>
      <c r="AD828" s="631"/>
      <c r="AF828" s="627">
        <v>-4324408.55</v>
      </c>
      <c r="AG828" s="627"/>
      <c r="AH828" s="627"/>
      <c r="AI828" s="627"/>
      <c r="AJ828" s="627"/>
      <c r="AK828" s="627"/>
      <c r="AL828" s="627"/>
    </row>
    <row r="829" spans="1:38" ht="11.1" customHeight="1" x14ac:dyDescent="0.25">
      <c r="A829" s="630" t="s">
        <v>4151</v>
      </c>
      <c r="B829" s="630"/>
      <c r="C829" s="630"/>
      <c r="M829" s="630" t="s">
        <v>1260</v>
      </c>
      <c r="N829" s="630"/>
      <c r="O829" s="630"/>
      <c r="P829" s="630"/>
      <c r="Q829" s="627">
        <v>-46784.06</v>
      </c>
      <c r="R829" s="627"/>
      <c r="T829" s="631">
        <v>0</v>
      </c>
      <c r="U829" s="631"/>
      <c r="V829" s="631"/>
      <c r="Y829" s="631">
        <v>0</v>
      </c>
      <c r="Z829" s="631"/>
      <c r="AA829" s="631"/>
      <c r="AB829" s="631"/>
      <c r="AC829" s="631"/>
      <c r="AD829" s="631"/>
      <c r="AF829" s="627">
        <v>-46784.06</v>
      </c>
      <c r="AG829" s="627"/>
      <c r="AH829" s="627"/>
      <c r="AI829" s="627"/>
      <c r="AJ829" s="627"/>
      <c r="AK829" s="627"/>
      <c r="AL829" s="627"/>
    </row>
    <row r="830" spans="1:38" ht="11.1" customHeight="1" x14ac:dyDescent="0.25">
      <c r="A830" s="630" t="s">
        <v>4152</v>
      </c>
      <c r="B830" s="630"/>
      <c r="C830" s="630"/>
      <c r="M830" s="630" t="s">
        <v>1262</v>
      </c>
      <c r="N830" s="630"/>
      <c r="O830" s="630"/>
      <c r="P830" s="630"/>
      <c r="Q830" s="627">
        <v>-10641829.84</v>
      </c>
      <c r="R830" s="627"/>
      <c r="T830" s="631">
        <v>0</v>
      </c>
      <c r="U830" s="631"/>
      <c r="V830" s="631"/>
      <c r="Y830" s="631">
        <v>0</v>
      </c>
      <c r="Z830" s="631"/>
      <c r="AA830" s="631"/>
      <c r="AB830" s="631"/>
      <c r="AC830" s="631"/>
      <c r="AD830" s="631"/>
      <c r="AF830" s="627">
        <v>-10641829.84</v>
      </c>
      <c r="AG830" s="627"/>
      <c r="AH830" s="627"/>
      <c r="AI830" s="627"/>
      <c r="AJ830" s="627"/>
      <c r="AK830" s="627"/>
      <c r="AL830" s="627"/>
    </row>
    <row r="831" spans="1:38" ht="11.1" customHeight="1" x14ac:dyDescent="0.25">
      <c r="A831" s="630" t="s">
        <v>4153</v>
      </c>
      <c r="B831" s="630"/>
      <c r="C831" s="630"/>
      <c r="M831" s="630" t="s">
        <v>1264</v>
      </c>
      <c r="N831" s="630"/>
      <c r="O831" s="630"/>
      <c r="P831" s="630"/>
      <c r="Q831" s="627">
        <v>34145997.140000001</v>
      </c>
      <c r="R831" s="627"/>
      <c r="T831" s="631">
        <v>0</v>
      </c>
      <c r="U831" s="631"/>
      <c r="V831" s="631"/>
      <c r="Y831" s="631">
        <v>0</v>
      </c>
      <c r="Z831" s="631"/>
      <c r="AA831" s="631"/>
      <c r="AB831" s="631"/>
      <c r="AC831" s="631"/>
      <c r="AD831" s="631"/>
      <c r="AF831" s="627">
        <v>34145997.140000001</v>
      </c>
      <c r="AG831" s="627"/>
      <c r="AH831" s="627"/>
      <c r="AI831" s="627"/>
      <c r="AJ831" s="627"/>
      <c r="AK831" s="627"/>
      <c r="AL831" s="627"/>
    </row>
    <row r="832" spans="1:38" ht="11.1" customHeight="1" x14ac:dyDescent="0.25">
      <c r="A832" s="630" t="s">
        <v>4154</v>
      </c>
      <c r="B832" s="630"/>
      <c r="C832" s="630"/>
      <c r="M832" s="630" t="s">
        <v>2244</v>
      </c>
      <c r="N832" s="630"/>
      <c r="O832" s="630"/>
      <c r="P832" s="630"/>
      <c r="Q832" s="627">
        <v>-15491116.42</v>
      </c>
      <c r="R832" s="627"/>
      <c r="T832" s="631">
        <v>0</v>
      </c>
      <c r="U832" s="631"/>
      <c r="V832" s="631"/>
      <c r="Y832" s="631">
        <v>0</v>
      </c>
      <c r="Z832" s="631"/>
      <c r="AA832" s="631"/>
      <c r="AB832" s="631"/>
      <c r="AC832" s="631"/>
      <c r="AD832" s="631"/>
      <c r="AF832" s="627">
        <v>-15491116.42</v>
      </c>
      <c r="AG832" s="627"/>
      <c r="AH832" s="627"/>
      <c r="AI832" s="627"/>
      <c r="AJ832" s="627"/>
      <c r="AK832" s="627"/>
      <c r="AL832" s="627"/>
    </row>
    <row r="833" spans="1:38" ht="11.1" customHeight="1" x14ac:dyDescent="0.25">
      <c r="A833" s="630" t="s">
        <v>4155</v>
      </c>
      <c r="B833" s="630"/>
      <c r="C833" s="630"/>
      <c r="M833" s="630" t="s">
        <v>2477</v>
      </c>
      <c r="N833" s="630"/>
      <c r="O833" s="630"/>
      <c r="P833" s="630"/>
      <c r="Q833" s="627">
        <v>-19162638.300000001</v>
      </c>
      <c r="R833" s="627"/>
      <c r="T833" s="631">
        <v>0</v>
      </c>
      <c r="U833" s="631"/>
      <c r="V833" s="631"/>
      <c r="Y833" s="631">
        <v>0</v>
      </c>
      <c r="Z833" s="631"/>
      <c r="AA833" s="631"/>
      <c r="AB833" s="631"/>
      <c r="AC833" s="631"/>
      <c r="AD833" s="631"/>
      <c r="AF833" s="627">
        <v>-19162638.300000001</v>
      </c>
      <c r="AG833" s="627"/>
      <c r="AH833" s="627"/>
      <c r="AI833" s="627"/>
      <c r="AJ833" s="627"/>
      <c r="AK833" s="627"/>
      <c r="AL833" s="627"/>
    </row>
    <row r="834" spans="1:38" ht="11.1" customHeight="1" x14ac:dyDescent="0.25">
      <c r="A834" s="630" t="s">
        <v>4156</v>
      </c>
      <c r="B834" s="630"/>
      <c r="C834" s="630"/>
      <c r="M834" s="630" t="s">
        <v>2916</v>
      </c>
      <c r="N834" s="630"/>
      <c r="O834" s="630"/>
      <c r="P834" s="630"/>
      <c r="Q834" s="627">
        <v>0</v>
      </c>
      <c r="R834" s="627"/>
      <c r="T834" s="631">
        <v>0</v>
      </c>
      <c r="U834" s="631"/>
      <c r="V834" s="631"/>
      <c r="Y834" s="631">
        <v>14379820.550000001</v>
      </c>
      <c r="Z834" s="631"/>
      <c r="AA834" s="631"/>
      <c r="AB834" s="631"/>
      <c r="AC834" s="631"/>
      <c r="AD834" s="631"/>
      <c r="AF834" s="627">
        <v>-14379820.550000001</v>
      </c>
      <c r="AG834" s="627"/>
      <c r="AH834" s="627"/>
      <c r="AI834" s="627"/>
      <c r="AJ834" s="627"/>
      <c r="AK834" s="627"/>
      <c r="AL834" s="627"/>
    </row>
    <row r="835" spans="1:38" ht="11.1" customHeight="1" x14ac:dyDescent="0.25">
      <c r="A835" s="630" t="s">
        <v>4157</v>
      </c>
      <c r="B835" s="630"/>
      <c r="C835" s="630"/>
      <c r="L835" s="630" t="s">
        <v>1266</v>
      </c>
      <c r="M835" s="630"/>
      <c r="N835" s="630"/>
      <c r="O835" s="630"/>
      <c r="P835" s="630"/>
      <c r="Q835" s="627">
        <v>68715259.799999997</v>
      </c>
      <c r="R835" s="627"/>
      <c r="T835" s="631">
        <v>0</v>
      </c>
      <c r="U835" s="631"/>
      <c r="V835" s="631"/>
      <c r="Y835" s="631">
        <v>0</v>
      </c>
      <c r="Z835" s="631"/>
      <c r="AA835" s="631"/>
      <c r="AB835" s="631"/>
      <c r="AC835" s="631"/>
      <c r="AD835" s="631"/>
      <c r="AF835" s="627">
        <v>68715259.799999997</v>
      </c>
      <c r="AG835" s="627"/>
      <c r="AH835" s="627"/>
      <c r="AI835" s="627"/>
      <c r="AJ835" s="627"/>
      <c r="AK835" s="627"/>
      <c r="AL835" s="627"/>
    </row>
    <row r="836" spans="1:38" ht="11.1" customHeight="1" x14ac:dyDescent="0.25">
      <c r="A836" s="630" t="s">
        <v>4158</v>
      </c>
      <c r="B836" s="630"/>
      <c r="C836" s="630"/>
      <c r="M836" s="630" t="s">
        <v>1268</v>
      </c>
      <c r="N836" s="630"/>
      <c r="O836" s="630"/>
      <c r="P836" s="630"/>
      <c r="Q836" s="627">
        <v>26213500</v>
      </c>
      <c r="R836" s="627"/>
      <c r="T836" s="631">
        <v>0</v>
      </c>
      <c r="U836" s="631"/>
      <c r="V836" s="631"/>
      <c r="Y836" s="631">
        <v>0</v>
      </c>
      <c r="Z836" s="631"/>
      <c r="AA836" s="631"/>
      <c r="AB836" s="631"/>
      <c r="AC836" s="631"/>
      <c r="AD836" s="631"/>
      <c r="AF836" s="627">
        <v>26213500</v>
      </c>
      <c r="AG836" s="627"/>
      <c r="AH836" s="627"/>
      <c r="AI836" s="627"/>
      <c r="AJ836" s="627"/>
      <c r="AK836" s="627"/>
      <c r="AL836" s="627"/>
    </row>
    <row r="837" spans="1:38" ht="11.1" customHeight="1" x14ac:dyDescent="0.25">
      <c r="A837" s="630" t="s">
        <v>4159</v>
      </c>
      <c r="B837" s="630"/>
      <c r="C837" s="630"/>
      <c r="M837" s="630" t="s">
        <v>1270</v>
      </c>
      <c r="N837" s="630"/>
      <c r="O837" s="630"/>
      <c r="P837" s="630"/>
      <c r="Q837" s="627">
        <v>42501759.799999997</v>
      </c>
      <c r="R837" s="627"/>
      <c r="T837" s="631">
        <v>0</v>
      </c>
      <c r="U837" s="631"/>
      <c r="V837" s="631"/>
      <c r="Y837" s="631">
        <v>0</v>
      </c>
      <c r="Z837" s="631"/>
      <c r="AA837" s="631"/>
      <c r="AB837" s="631"/>
      <c r="AC837" s="631"/>
      <c r="AD837" s="631"/>
      <c r="AF837" s="627">
        <v>42501759.799999997</v>
      </c>
      <c r="AG837" s="627"/>
      <c r="AH837" s="627"/>
      <c r="AI837" s="627"/>
      <c r="AJ837" s="627"/>
      <c r="AK837" s="627"/>
      <c r="AL837" s="627"/>
    </row>
    <row r="838" spans="1:38" ht="11.1" customHeight="1" x14ac:dyDescent="0.25">
      <c r="A838" s="632" t="s">
        <v>4160</v>
      </c>
      <c r="B838" s="632"/>
      <c r="C838" s="632"/>
      <c r="H838" s="632" t="s">
        <v>1272</v>
      </c>
      <c r="I838" s="632"/>
      <c r="J838" s="632"/>
      <c r="K838" s="632"/>
      <c r="L838" s="632"/>
      <c r="M838" s="632"/>
      <c r="N838" s="632"/>
      <c r="O838" s="632"/>
      <c r="P838" s="632"/>
      <c r="Q838" s="633">
        <v>42579.69</v>
      </c>
      <c r="R838" s="633"/>
      <c r="T838" s="634">
        <v>46.63</v>
      </c>
      <c r="U838" s="634"/>
      <c r="V838" s="634"/>
      <c r="Y838" s="634">
        <v>0</v>
      </c>
      <c r="Z838" s="634"/>
      <c r="AA838" s="634"/>
      <c r="AB838" s="634"/>
      <c r="AC838" s="634"/>
      <c r="AD838" s="634"/>
      <c r="AF838" s="633">
        <v>42626.32</v>
      </c>
      <c r="AG838" s="633"/>
      <c r="AH838" s="633"/>
      <c r="AI838" s="633"/>
      <c r="AJ838" s="633"/>
      <c r="AK838" s="633"/>
      <c r="AL838" s="633"/>
    </row>
    <row r="839" spans="1:38" ht="11.1" customHeight="1" x14ac:dyDescent="0.25">
      <c r="A839" s="632" t="s">
        <v>4161</v>
      </c>
      <c r="B839" s="632"/>
      <c r="C839" s="632"/>
      <c r="I839" s="632" t="s">
        <v>1274</v>
      </c>
      <c r="J839" s="632"/>
      <c r="K839" s="632"/>
      <c r="L839" s="632"/>
      <c r="M839" s="632"/>
      <c r="N839" s="632"/>
      <c r="O839" s="632"/>
      <c r="P839" s="632"/>
      <c r="Q839" s="633">
        <v>42579.69</v>
      </c>
      <c r="R839" s="633"/>
      <c r="T839" s="634">
        <v>46.63</v>
      </c>
      <c r="U839" s="634"/>
      <c r="V839" s="634"/>
      <c r="Y839" s="634">
        <v>0</v>
      </c>
      <c r="Z839" s="634"/>
      <c r="AA839" s="634"/>
      <c r="AB839" s="634"/>
      <c r="AC839" s="634"/>
      <c r="AD839" s="634"/>
      <c r="AF839" s="633">
        <v>42626.32</v>
      </c>
      <c r="AG839" s="633"/>
      <c r="AH839" s="633"/>
      <c r="AI839" s="633"/>
      <c r="AJ839" s="633"/>
      <c r="AK839" s="633"/>
      <c r="AL839" s="633"/>
    </row>
    <row r="840" spans="1:38" ht="11.1" customHeight="1" x14ac:dyDescent="0.25">
      <c r="A840" s="632" t="s">
        <v>4162</v>
      </c>
      <c r="B840" s="632"/>
      <c r="C840" s="632"/>
      <c r="J840" s="632" t="s">
        <v>1276</v>
      </c>
      <c r="K840" s="632"/>
      <c r="L840" s="632"/>
      <c r="M840" s="632"/>
      <c r="N840" s="632"/>
      <c r="O840" s="632"/>
      <c r="P840" s="632"/>
      <c r="Q840" s="633">
        <v>42579.69</v>
      </c>
      <c r="R840" s="633"/>
      <c r="T840" s="634">
        <v>46.63</v>
      </c>
      <c r="U840" s="634"/>
      <c r="V840" s="634"/>
      <c r="Y840" s="634">
        <v>0</v>
      </c>
      <c r="Z840" s="634"/>
      <c r="AA840" s="634"/>
      <c r="AB840" s="634"/>
      <c r="AC840" s="634"/>
      <c r="AD840" s="634"/>
      <c r="AF840" s="633">
        <v>42626.32</v>
      </c>
      <c r="AG840" s="633"/>
      <c r="AH840" s="633"/>
      <c r="AI840" s="633"/>
      <c r="AJ840" s="633"/>
      <c r="AK840" s="633"/>
      <c r="AL840" s="633"/>
    </row>
    <row r="841" spans="1:38" ht="11.1" customHeight="1" x14ac:dyDescent="0.25">
      <c r="A841" s="630" t="s">
        <v>4163</v>
      </c>
      <c r="B841" s="630"/>
      <c r="C841" s="630"/>
      <c r="K841" s="630" t="s">
        <v>1276</v>
      </c>
      <c r="L841" s="630"/>
      <c r="M841" s="630"/>
      <c r="N841" s="630"/>
      <c r="O841" s="630"/>
      <c r="P841" s="630"/>
      <c r="Q841" s="627">
        <v>42579.69</v>
      </c>
      <c r="R841" s="627"/>
      <c r="T841" s="631">
        <v>46.63</v>
      </c>
      <c r="U841" s="631"/>
      <c r="V841" s="631"/>
      <c r="Y841" s="631">
        <v>0</v>
      </c>
      <c r="Z841" s="631"/>
      <c r="AA841" s="631"/>
      <c r="AB841" s="631"/>
      <c r="AC841" s="631"/>
      <c r="AD841" s="631"/>
      <c r="AF841" s="627">
        <v>42626.32</v>
      </c>
      <c r="AG841" s="627"/>
      <c r="AH841" s="627"/>
      <c r="AI841" s="627"/>
      <c r="AJ841" s="627"/>
      <c r="AK841" s="627"/>
      <c r="AL841" s="627"/>
    </row>
    <row r="842" spans="1:38" ht="11.1" customHeight="1" x14ac:dyDescent="0.25">
      <c r="A842" s="630" t="s">
        <v>4164</v>
      </c>
      <c r="B842" s="630"/>
      <c r="C842" s="630"/>
      <c r="L842" s="630" t="s">
        <v>302</v>
      </c>
      <c r="M842" s="630"/>
      <c r="N842" s="630"/>
      <c r="O842" s="630"/>
      <c r="P842" s="630"/>
      <c r="Q842" s="627">
        <v>42579.69</v>
      </c>
      <c r="R842" s="627"/>
      <c r="T842" s="631">
        <v>46.63</v>
      </c>
      <c r="U842" s="631"/>
      <c r="V842" s="631"/>
      <c r="Y842" s="631">
        <v>0</v>
      </c>
      <c r="Z842" s="631"/>
      <c r="AA842" s="631"/>
      <c r="AB842" s="631"/>
      <c r="AC842" s="631"/>
      <c r="AD842" s="631"/>
      <c r="AF842" s="627">
        <v>42626.32</v>
      </c>
      <c r="AG842" s="627"/>
      <c r="AH842" s="627"/>
      <c r="AI842" s="627"/>
      <c r="AJ842" s="627"/>
      <c r="AK842" s="627"/>
      <c r="AL842" s="627"/>
    </row>
    <row r="843" spans="1:38" ht="11.1" customHeight="1" x14ac:dyDescent="0.25">
      <c r="A843" s="630" t="s">
        <v>4165</v>
      </c>
      <c r="B843" s="630"/>
      <c r="C843" s="630"/>
      <c r="M843" s="630" t="s">
        <v>1280</v>
      </c>
      <c r="N843" s="630"/>
      <c r="O843" s="630"/>
      <c r="P843" s="630"/>
      <c r="Q843" s="627">
        <v>42579.69</v>
      </c>
      <c r="R843" s="627"/>
      <c r="T843" s="631">
        <v>46.63</v>
      </c>
      <c r="U843" s="631"/>
      <c r="V843" s="631"/>
      <c r="Y843" s="631">
        <v>0</v>
      </c>
      <c r="Z843" s="631"/>
      <c r="AA843" s="631"/>
      <c r="AB843" s="631"/>
      <c r="AC843" s="631"/>
      <c r="AD843" s="631"/>
      <c r="AF843" s="627">
        <v>42626.32</v>
      </c>
      <c r="AG843" s="627"/>
      <c r="AH843" s="627"/>
      <c r="AI843" s="627"/>
      <c r="AJ843" s="627"/>
      <c r="AK843" s="627"/>
      <c r="AL843" s="627"/>
    </row>
    <row r="844" spans="1:38" ht="11.1" customHeight="1" x14ac:dyDescent="0.25">
      <c r="A844" s="632" t="s">
        <v>4166</v>
      </c>
      <c r="B844" s="632"/>
      <c r="C844" s="632"/>
      <c r="H844" s="632" t="s">
        <v>1282</v>
      </c>
      <c r="I844" s="632"/>
      <c r="J844" s="632"/>
      <c r="K844" s="632"/>
      <c r="L844" s="632"/>
      <c r="M844" s="632"/>
      <c r="N844" s="632"/>
      <c r="O844" s="632"/>
      <c r="P844" s="632"/>
      <c r="Q844" s="633">
        <v>44678548.869999997</v>
      </c>
      <c r="R844" s="633"/>
      <c r="T844" s="634">
        <v>29429486.41</v>
      </c>
      <c r="U844" s="634"/>
      <c r="V844" s="634"/>
      <c r="Y844" s="634">
        <v>11536000.539999999</v>
      </c>
      <c r="Z844" s="634"/>
      <c r="AA844" s="634"/>
      <c r="AB844" s="634"/>
      <c r="AC844" s="634"/>
      <c r="AD844" s="634"/>
      <c r="AF844" s="633">
        <v>62572034.740000002</v>
      </c>
      <c r="AG844" s="633"/>
      <c r="AH844" s="633"/>
      <c r="AI844" s="633"/>
      <c r="AJ844" s="633"/>
      <c r="AK844" s="633"/>
      <c r="AL844" s="633"/>
    </row>
    <row r="845" spans="1:38" ht="11.1" customHeight="1" x14ac:dyDescent="0.25">
      <c r="A845" s="632" t="s">
        <v>4167</v>
      </c>
      <c r="B845" s="632"/>
      <c r="C845" s="632"/>
      <c r="I845" s="632" t="s">
        <v>1284</v>
      </c>
      <c r="J845" s="632"/>
      <c r="K845" s="632"/>
      <c r="L845" s="632"/>
      <c r="M845" s="632"/>
      <c r="N845" s="632"/>
      <c r="O845" s="632"/>
      <c r="P845" s="632"/>
      <c r="Q845" s="633">
        <v>27410345.260000002</v>
      </c>
      <c r="R845" s="633"/>
      <c r="T845" s="634">
        <v>29429486.41</v>
      </c>
      <c r="U845" s="634"/>
      <c r="V845" s="634"/>
      <c r="Y845" s="634">
        <v>11536000.539999999</v>
      </c>
      <c r="Z845" s="634"/>
      <c r="AA845" s="634"/>
      <c r="AB845" s="634"/>
      <c r="AC845" s="634"/>
      <c r="AD845" s="634"/>
      <c r="AF845" s="633">
        <v>45303831.130000003</v>
      </c>
      <c r="AG845" s="633"/>
      <c r="AH845" s="633"/>
      <c r="AI845" s="633"/>
      <c r="AJ845" s="633"/>
      <c r="AK845" s="633"/>
      <c r="AL845" s="633"/>
    </row>
    <row r="846" spans="1:38" ht="11.1" customHeight="1" x14ac:dyDescent="0.25">
      <c r="A846" s="632" t="s">
        <v>4168</v>
      </c>
      <c r="B846" s="632"/>
      <c r="C846" s="632"/>
      <c r="J846" s="632" t="s">
        <v>1284</v>
      </c>
      <c r="K846" s="632"/>
      <c r="L846" s="632"/>
      <c r="M846" s="632"/>
      <c r="N846" s="632"/>
      <c r="O846" s="632"/>
      <c r="P846" s="632"/>
      <c r="Q846" s="633">
        <v>27410345.260000002</v>
      </c>
      <c r="R846" s="633"/>
      <c r="T846" s="634">
        <v>29429486.41</v>
      </c>
      <c r="U846" s="634"/>
      <c r="V846" s="634"/>
      <c r="Y846" s="634">
        <v>11536000.539999999</v>
      </c>
      <c r="Z846" s="634"/>
      <c r="AA846" s="634"/>
      <c r="AB846" s="634"/>
      <c r="AC846" s="634"/>
      <c r="AD846" s="634"/>
      <c r="AF846" s="633">
        <v>45303831.130000003</v>
      </c>
      <c r="AG846" s="633"/>
      <c r="AH846" s="633"/>
      <c r="AI846" s="633"/>
      <c r="AJ846" s="633"/>
      <c r="AK846" s="633"/>
      <c r="AL846" s="633"/>
    </row>
    <row r="847" spans="1:38" ht="11.1" customHeight="1" x14ac:dyDescent="0.25">
      <c r="A847" s="630" t="s">
        <v>4169</v>
      </c>
      <c r="B847" s="630"/>
      <c r="C847" s="630"/>
      <c r="K847" s="630" t="s">
        <v>1284</v>
      </c>
      <c r="L847" s="630"/>
      <c r="M847" s="630"/>
      <c r="N847" s="630"/>
      <c r="O847" s="630"/>
      <c r="P847" s="630"/>
      <c r="Q847" s="627">
        <v>27410345.260000002</v>
      </c>
      <c r="R847" s="627"/>
      <c r="T847" s="631">
        <v>29429486.41</v>
      </c>
      <c r="U847" s="631"/>
      <c r="V847" s="631"/>
      <c r="Y847" s="631">
        <v>11536000.539999999</v>
      </c>
      <c r="Z847" s="631"/>
      <c r="AA847" s="631"/>
      <c r="AB847" s="631"/>
      <c r="AC847" s="631"/>
      <c r="AD847" s="631"/>
      <c r="AF847" s="627">
        <v>45303831.130000003</v>
      </c>
      <c r="AG847" s="627"/>
      <c r="AH847" s="627"/>
      <c r="AI847" s="627"/>
      <c r="AJ847" s="627"/>
      <c r="AK847" s="627"/>
      <c r="AL847" s="627"/>
    </row>
    <row r="848" spans="1:38" ht="11.1" customHeight="1" x14ac:dyDescent="0.25">
      <c r="A848" s="630" t="s">
        <v>4170</v>
      </c>
      <c r="B848" s="630"/>
      <c r="C848" s="630"/>
      <c r="L848" s="630" t="s">
        <v>1284</v>
      </c>
      <c r="M848" s="630"/>
      <c r="N848" s="630"/>
      <c r="O848" s="630"/>
      <c r="P848" s="630"/>
      <c r="Q848" s="627">
        <v>27410345.260000002</v>
      </c>
      <c r="R848" s="627"/>
      <c r="T848" s="631">
        <v>29429486.41</v>
      </c>
      <c r="U848" s="631"/>
      <c r="V848" s="631"/>
      <c r="Y848" s="631">
        <v>11536000.539999999</v>
      </c>
      <c r="Z848" s="631"/>
      <c r="AA848" s="631"/>
      <c r="AB848" s="631"/>
      <c r="AC848" s="631"/>
      <c r="AD848" s="631"/>
      <c r="AF848" s="627">
        <v>45303831.130000003</v>
      </c>
      <c r="AG848" s="627"/>
      <c r="AH848" s="627"/>
      <c r="AI848" s="627"/>
      <c r="AJ848" s="627"/>
      <c r="AK848" s="627"/>
      <c r="AL848" s="627"/>
    </row>
    <row r="849" spans="1:38" ht="11.1" customHeight="1" x14ac:dyDescent="0.25">
      <c r="A849" s="630" t="s">
        <v>4171</v>
      </c>
      <c r="B849" s="630"/>
      <c r="C849" s="630"/>
      <c r="M849" s="630" t="s">
        <v>1284</v>
      </c>
      <c r="N849" s="630"/>
      <c r="O849" s="630"/>
      <c r="P849" s="630"/>
      <c r="Q849" s="627">
        <v>100365618.36</v>
      </c>
      <c r="R849" s="627"/>
      <c r="T849" s="631">
        <v>29429486.41</v>
      </c>
      <c r="U849" s="631"/>
      <c r="V849" s="631"/>
      <c r="Y849" s="631">
        <v>11536000.539999999</v>
      </c>
      <c r="Z849" s="631"/>
      <c r="AA849" s="631"/>
      <c r="AB849" s="631"/>
      <c r="AC849" s="631"/>
      <c r="AD849" s="631"/>
      <c r="AF849" s="627">
        <v>118259104.23</v>
      </c>
      <c r="AG849" s="627"/>
      <c r="AH849" s="627"/>
      <c r="AI849" s="627"/>
      <c r="AJ849" s="627"/>
      <c r="AK849" s="627"/>
      <c r="AL849" s="627"/>
    </row>
    <row r="850" spans="1:38" ht="11.1" customHeight="1" x14ac:dyDescent="0.25">
      <c r="A850" s="630" t="s">
        <v>4172</v>
      </c>
      <c r="B850" s="630"/>
      <c r="C850" s="630"/>
      <c r="M850" s="630" t="s">
        <v>2246</v>
      </c>
      <c r="N850" s="630"/>
      <c r="O850" s="630"/>
      <c r="P850" s="630"/>
      <c r="Q850" s="627">
        <v>-32612876.68</v>
      </c>
      <c r="R850" s="627"/>
      <c r="T850" s="631">
        <v>0</v>
      </c>
      <c r="U850" s="631"/>
      <c r="V850" s="631"/>
      <c r="Y850" s="631">
        <v>0</v>
      </c>
      <c r="Z850" s="631"/>
      <c r="AA850" s="631"/>
      <c r="AB850" s="631"/>
      <c r="AC850" s="631"/>
      <c r="AD850" s="631"/>
      <c r="AF850" s="627">
        <v>-32612876.68</v>
      </c>
      <c r="AG850" s="627"/>
      <c r="AH850" s="627"/>
      <c r="AI850" s="627"/>
      <c r="AJ850" s="627"/>
      <c r="AK850" s="627"/>
      <c r="AL850" s="627"/>
    </row>
    <row r="851" spans="1:38" ht="11.1" customHeight="1" x14ac:dyDescent="0.25">
      <c r="A851" s="630" t="s">
        <v>4173</v>
      </c>
      <c r="B851" s="630"/>
      <c r="C851" s="630"/>
      <c r="M851" s="630" t="s">
        <v>2918</v>
      </c>
      <c r="N851" s="630"/>
      <c r="O851" s="630"/>
      <c r="P851" s="630"/>
      <c r="Q851" s="627">
        <v>-40342396.420000002</v>
      </c>
      <c r="R851" s="627"/>
      <c r="T851" s="631">
        <v>0</v>
      </c>
      <c r="U851" s="631"/>
      <c r="V851" s="631"/>
      <c r="Y851" s="631">
        <v>0</v>
      </c>
      <c r="Z851" s="631"/>
      <c r="AA851" s="631"/>
      <c r="AB851" s="631"/>
      <c r="AC851" s="631"/>
      <c r="AD851" s="631"/>
      <c r="AF851" s="627">
        <v>-40342396.420000002</v>
      </c>
      <c r="AG851" s="627"/>
      <c r="AH851" s="627"/>
      <c r="AI851" s="627"/>
      <c r="AJ851" s="627"/>
      <c r="AK851" s="627"/>
      <c r="AL851" s="627"/>
    </row>
    <row r="852" spans="1:38" ht="11.1" customHeight="1" x14ac:dyDescent="0.25">
      <c r="A852" s="632" t="s">
        <v>4174</v>
      </c>
      <c r="B852" s="632"/>
      <c r="C852" s="632"/>
      <c r="I852" s="632" t="s">
        <v>1289</v>
      </c>
      <c r="J852" s="632"/>
      <c r="K852" s="632"/>
      <c r="L852" s="632"/>
      <c r="M852" s="632"/>
      <c r="N852" s="632"/>
      <c r="O852" s="632"/>
      <c r="P852" s="632"/>
      <c r="Q852" s="633">
        <v>17268203.609999999</v>
      </c>
      <c r="R852" s="633"/>
      <c r="T852" s="634">
        <v>0</v>
      </c>
      <c r="U852" s="634"/>
      <c r="V852" s="634"/>
      <c r="Y852" s="634">
        <v>0</v>
      </c>
      <c r="Z852" s="634"/>
      <c r="AA852" s="634"/>
      <c r="AB852" s="634"/>
      <c r="AC852" s="634"/>
      <c r="AD852" s="634"/>
      <c r="AF852" s="633">
        <v>17268203.609999999</v>
      </c>
      <c r="AG852" s="633"/>
      <c r="AH852" s="633"/>
      <c r="AI852" s="633"/>
      <c r="AJ852" s="633"/>
      <c r="AK852" s="633"/>
      <c r="AL852" s="633"/>
    </row>
    <row r="853" spans="1:38" ht="11.1" customHeight="1" x14ac:dyDescent="0.25">
      <c r="A853" s="632" t="s">
        <v>4175</v>
      </c>
      <c r="B853" s="632"/>
      <c r="C853" s="632"/>
      <c r="J853" s="632" t="s">
        <v>1289</v>
      </c>
      <c r="K853" s="632"/>
      <c r="L853" s="632"/>
      <c r="M853" s="632"/>
      <c r="N853" s="632"/>
      <c r="O853" s="632"/>
      <c r="P853" s="632"/>
      <c r="Q853" s="633">
        <v>17268203.609999999</v>
      </c>
      <c r="R853" s="633"/>
      <c r="T853" s="634">
        <v>0</v>
      </c>
      <c r="U853" s="634"/>
      <c r="V853" s="634"/>
      <c r="Y853" s="634">
        <v>0</v>
      </c>
      <c r="Z853" s="634"/>
      <c r="AA853" s="634"/>
      <c r="AB853" s="634"/>
      <c r="AC853" s="634"/>
      <c r="AD853" s="634"/>
      <c r="AF853" s="633">
        <v>17268203.609999999</v>
      </c>
      <c r="AG853" s="633"/>
      <c r="AH853" s="633"/>
      <c r="AI853" s="633"/>
      <c r="AJ853" s="633"/>
      <c r="AK853" s="633"/>
      <c r="AL853" s="633"/>
    </row>
    <row r="854" spans="1:38" ht="11.1" customHeight="1" x14ac:dyDescent="0.25">
      <c r="A854" s="630" t="s">
        <v>4176</v>
      </c>
      <c r="B854" s="630"/>
      <c r="C854" s="630"/>
      <c r="K854" s="630" t="s">
        <v>1289</v>
      </c>
      <c r="L854" s="630"/>
      <c r="M854" s="630"/>
      <c r="N854" s="630"/>
      <c r="O854" s="630"/>
      <c r="P854" s="630"/>
      <c r="Q854" s="627">
        <v>17268203.609999999</v>
      </c>
      <c r="R854" s="627"/>
      <c r="T854" s="631">
        <v>0</v>
      </c>
      <c r="U854" s="631"/>
      <c r="V854" s="631"/>
      <c r="Y854" s="631">
        <v>0</v>
      </c>
      <c r="Z854" s="631"/>
      <c r="AA854" s="631"/>
      <c r="AB854" s="631"/>
      <c r="AC854" s="631"/>
      <c r="AD854" s="631"/>
      <c r="AF854" s="627">
        <v>17268203.609999999</v>
      </c>
      <c r="AG854" s="627"/>
      <c r="AH854" s="627"/>
      <c r="AI854" s="627"/>
      <c r="AJ854" s="627"/>
      <c r="AK854" s="627"/>
      <c r="AL854" s="627"/>
    </row>
    <row r="855" spans="1:38" ht="11.1" customHeight="1" x14ac:dyDescent="0.25">
      <c r="A855" s="630" t="s">
        <v>4177</v>
      </c>
      <c r="B855" s="630"/>
      <c r="C855" s="630"/>
      <c r="L855" s="630" t="s">
        <v>1289</v>
      </c>
      <c r="M855" s="630"/>
      <c r="N855" s="630"/>
      <c r="O855" s="630"/>
      <c r="P855" s="630"/>
      <c r="Q855" s="627">
        <v>17268203.609999999</v>
      </c>
      <c r="R855" s="627"/>
      <c r="T855" s="631">
        <v>0</v>
      </c>
      <c r="U855" s="631"/>
      <c r="V855" s="631"/>
      <c r="Y855" s="631">
        <v>0</v>
      </c>
      <c r="Z855" s="631"/>
      <c r="AA855" s="631"/>
      <c r="AB855" s="631"/>
      <c r="AC855" s="631"/>
      <c r="AD855" s="631"/>
      <c r="AF855" s="627">
        <v>17268203.609999999</v>
      </c>
      <c r="AG855" s="627"/>
      <c r="AH855" s="627"/>
      <c r="AI855" s="627"/>
      <c r="AJ855" s="627"/>
      <c r="AK855" s="627"/>
      <c r="AL855" s="627"/>
    </row>
    <row r="856" spans="1:38" ht="11.1" customHeight="1" x14ac:dyDescent="0.25">
      <c r="A856" s="630" t="s">
        <v>4178</v>
      </c>
      <c r="B856" s="630"/>
      <c r="C856" s="630"/>
      <c r="M856" s="630" t="s">
        <v>1294</v>
      </c>
      <c r="N856" s="630"/>
      <c r="O856" s="630"/>
      <c r="P856" s="630"/>
      <c r="Q856" s="627">
        <v>17268203.609999999</v>
      </c>
      <c r="R856" s="627"/>
      <c r="T856" s="631">
        <v>0</v>
      </c>
      <c r="U856" s="631"/>
      <c r="V856" s="631"/>
      <c r="Y856" s="631">
        <v>0</v>
      </c>
      <c r="Z856" s="631"/>
      <c r="AA856" s="631"/>
      <c r="AB856" s="631"/>
      <c r="AC856" s="631"/>
      <c r="AD856" s="631"/>
      <c r="AF856" s="627">
        <v>17268203.609999999</v>
      </c>
      <c r="AG856" s="627"/>
      <c r="AH856" s="627"/>
      <c r="AI856" s="627"/>
      <c r="AJ856" s="627"/>
      <c r="AK856" s="627"/>
      <c r="AL856" s="627"/>
    </row>
    <row r="857" spans="1:38" ht="11.1" customHeight="1" x14ac:dyDescent="0.25">
      <c r="A857" s="632" t="s">
        <v>4179</v>
      </c>
      <c r="B857" s="632"/>
      <c r="C857" s="632"/>
      <c r="H857" s="632" t="s">
        <v>1296</v>
      </c>
      <c r="I857" s="632"/>
      <c r="J857" s="632"/>
      <c r="K857" s="632"/>
      <c r="L857" s="632"/>
      <c r="M857" s="632"/>
      <c r="N857" s="632"/>
      <c r="O857" s="632"/>
      <c r="P857" s="632"/>
      <c r="Q857" s="633">
        <v>0</v>
      </c>
      <c r="R857" s="633"/>
      <c r="T857" s="634">
        <v>3669.5</v>
      </c>
      <c r="U857" s="634"/>
      <c r="V857" s="634"/>
      <c r="Y857" s="634">
        <v>3669.5</v>
      </c>
      <c r="Z857" s="634"/>
      <c r="AA857" s="634"/>
      <c r="AB857" s="634"/>
      <c r="AC857" s="634"/>
      <c r="AD857" s="634"/>
      <c r="AF857" s="633">
        <v>0</v>
      </c>
      <c r="AG857" s="633"/>
      <c r="AH857" s="633"/>
      <c r="AI857" s="633"/>
      <c r="AJ857" s="633"/>
      <c r="AK857" s="633"/>
      <c r="AL857" s="633"/>
    </row>
    <row r="858" spans="1:38" ht="11.1" customHeight="1" x14ac:dyDescent="0.25">
      <c r="A858" s="632" t="s">
        <v>4180</v>
      </c>
      <c r="B858" s="632"/>
      <c r="C858" s="632"/>
      <c r="H858" s="632" t="s">
        <v>1298</v>
      </c>
      <c r="I858" s="632"/>
      <c r="J858" s="632"/>
      <c r="K858" s="632"/>
      <c r="L858" s="632"/>
      <c r="M858" s="632"/>
      <c r="N858" s="632"/>
      <c r="O858" s="632"/>
      <c r="P858" s="632"/>
      <c r="Q858" s="633">
        <v>0</v>
      </c>
      <c r="R858" s="633"/>
      <c r="T858" s="634">
        <v>3669.5</v>
      </c>
      <c r="U858" s="634"/>
      <c r="V858" s="634"/>
      <c r="Y858" s="634">
        <v>3669.5</v>
      </c>
      <c r="Z858" s="634"/>
      <c r="AA858" s="634"/>
      <c r="AB858" s="634"/>
      <c r="AC858" s="634"/>
      <c r="AD858" s="634"/>
      <c r="AF858" s="633">
        <v>0</v>
      </c>
      <c r="AG858" s="633"/>
      <c r="AH858" s="633"/>
      <c r="AI858" s="633"/>
      <c r="AJ858" s="633"/>
      <c r="AK858" s="633"/>
      <c r="AL858" s="633"/>
    </row>
    <row r="859" spans="1:38" ht="11.1" customHeight="1" x14ac:dyDescent="0.25">
      <c r="A859" s="632" t="s">
        <v>4181</v>
      </c>
      <c r="B859" s="632"/>
      <c r="C859" s="632"/>
      <c r="H859" s="632" t="s">
        <v>1300</v>
      </c>
      <c r="I859" s="632"/>
      <c r="J859" s="632"/>
      <c r="K859" s="632"/>
      <c r="L859" s="632"/>
      <c r="M859" s="632"/>
      <c r="N859" s="632"/>
      <c r="O859" s="632"/>
      <c r="P859" s="632"/>
      <c r="Q859" s="633">
        <v>0</v>
      </c>
      <c r="R859" s="633"/>
      <c r="T859" s="634">
        <v>3669.5</v>
      </c>
      <c r="U859" s="634"/>
      <c r="V859" s="634"/>
      <c r="Y859" s="634">
        <v>3669.5</v>
      </c>
      <c r="Z859" s="634"/>
      <c r="AA859" s="634"/>
      <c r="AB859" s="634"/>
      <c r="AC859" s="634"/>
      <c r="AD859" s="634"/>
      <c r="AF859" s="633">
        <v>0</v>
      </c>
      <c r="AG859" s="633"/>
      <c r="AH859" s="633"/>
      <c r="AI859" s="633"/>
      <c r="AJ859" s="633"/>
      <c r="AK859" s="633"/>
      <c r="AL859" s="633"/>
    </row>
    <row r="860" spans="1:38" ht="11.1" customHeight="1" x14ac:dyDescent="0.25">
      <c r="A860" s="632" t="s">
        <v>4182</v>
      </c>
      <c r="B860" s="632"/>
      <c r="C860" s="632"/>
      <c r="I860" s="632" t="s">
        <v>581</v>
      </c>
      <c r="J860" s="632"/>
      <c r="K860" s="632"/>
      <c r="L860" s="632"/>
      <c r="M860" s="632"/>
      <c r="N860" s="632"/>
      <c r="O860" s="632"/>
      <c r="P860" s="632"/>
      <c r="Q860" s="633">
        <v>0</v>
      </c>
      <c r="R860" s="633"/>
      <c r="T860" s="634">
        <v>0</v>
      </c>
      <c r="U860" s="634"/>
      <c r="V860" s="634"/>
      <c r="Y860" s="634">
        <v>0</v>
      </c>
      <c r="Z860" s="634"/>
      <c r="AA860" s="634"/>
      <c r="AB860" s="634"/>
      <c r="AC860" s="634"/>
      <c r="AD860" s="634"/>
      <c r="AF860" s="633">
        <v>0</v>
      </c>
      <c r="AG860" s="633"/>
      <c r="AH860" s="633"/>
      <c r="AI860" s="633"/>
      <c r="AJ860" s="633"/>
      <c r="AK860" s="633"/>
      <c r="AL860" s="633"/>
    </row>
    <row r="861" spans="1:38" ht="11.1" customHeight="1" x14ac:dyDescent="0.25">
      <c r="A861" s="632" t="s">
        <v>4183</v>
      </c>
      <c r="B861" s="632"/>
      <c r="C861" s="632"/>
      <c r="J861" s="632" t="s">
        <v>583</v>
      </c>
      <c r="K861" s="632"/>
      <c r="L861" s="632"/>
      <c r="M861" s="632"/>
      <c r="N861" s="632"/>
      <c r="O861" s="632"/>
      <c r="P861" s="632"/>
      <c r="Q861" s="633">
        <v>726082.96</v>
      </c>
      <c r="R861" s="633"/>
      <c r="T861" s="634">
        <v>0</v>
      </c>
      <c r="U861" s="634"/>
      <c r="V861" s="634"/>
      <c r="Y861" s="634">
        <v>0</v>
      </c>
      <c r="Z861" s="634"/>
      <c r="AA861" s="634"/>
      <c r="AB861" s="634"/>
      <c r="AC861" s="634"/>
      <c r="AD861" s="634"/>
      <c r="AF861" s="633">
        <v>726082.96</v>
      </c>
      <c r="AG861" s="633"/>
      <c r="AH861" s="633"/>
      <c r="AI861" s="633"/>
      <c r="AJ861" s="633"/>
      <c r="AK861" s="633"/>
      <c r="AL861" s="633"/>
    </row>
    <row r="862" spans="1:38" ht="11.1" customHeight="1" x14ac:dyDescent="0.25">
      <c r="A862" s="630" t="s">
        <v>4184</v>
      </c>
      <c r="B862" s="630"/>
      <c r="C862" s="630"/>
      <c r="K862" s="630" t="s">
        <v>595</v>
      </c>
      <c r="L862" s="630"/>
      <c r="M862" s="630"/>
      <c r="N862" s="630"/>
      <c r="O862" s="630"/>
      <c r="P862" s="630"/>
      <c r="Q862" s="627">
        <v>517928.98</v>
      </c>
      <c r="R862" s="627"/>
      <c r="T862" s="631">
        <v>0</v>
      </c>
      <c r="U862" s="631"/>
      <c r="V862" s="631"/>
      <c r="Y862" s="631">
        <v>0</v>
      </c>
      <c r="Z862" s="631"/>
      <c r="AA862" s="631"/>
      <c r="AB862" s="631"/>
      <c r="AC862" s="631"/>
      <c r="AD862" s="631"/>
      <c r="AF862" s="627">
        <v>517928.98</v>
      </c>
      <c r="AG862" s="627"/>
      <c r="AH862" s="627"/>
      <c r="AI862" s="627"/>
      <c r="AJ862" s="627"/>
      <c r="AK862" s="627"/>
      <c r="AL862" s="627"/>
    </row>
    <row r="863" spans="1:38" ht="11.1" customHeight="1" x14ac:dyDescent="0.25">
      <c r="A863" s="630" t="s">
        <v>4185</v>
      </c>
      <c r="B863" s="630"/>
      <c r="C863" s="630"/>
      <c r="L863" s="630" t="s">
        <v>591</v>
      </c>
      <c r="M863" s="630"/>
      <c r="N863" s="630"/>
      <c r="O863" s="630"/>
      <c r="P863" s="630"/>
      <c r="Q863" s="627">
        <v>517928.98</v>
      </c>
      <c r="R863" s="627"/>
      <c r="T863" s="631">
        <v>0</v>
      </c>
      <c r="U863" s="631"/>
      <c r="V863" s="631"/>
      <c r="Y863" s="631">
        <v>0</v>
      </c>
      <c r="Z863" s="631"/>
      <c r="AA863" s="631"/>
      <c r="AB863" s="631"/>
      <c r="AC863" s="631"/>
      <c r="AD863" s="631"/>
      <c r="AF863" s="627">
        <v>517928.98</v>
      </c>
      <c r="AG863" s="627"/>
      <c r="AH863" s="627"/>
      <c r="AI863" s="627"/>
      <c r="AJ863" s="627"/>
      <c r="AK863" s="627"/>
      <c r="AL863" s="627"/>
    </row>
    <row r="864" spans="1:38" ht="11.1" customHeight="1" x14ac:dyDescent="0.25">
      <c r="A864" s="630" t="s">
        <v>4186</v>
      </c>
      <c r="B864" s="630"/>
      <c r="C864" s="630"/>
      <c r="M864" s="630" t="s">
        <v>595</v>
      </c>
      <c r="N864" s="630"/>
      <c r="O864" s="630"/>
      <c r="P864" s="630"/>
      <c r="Q864" s="627">
        <v>517928.98</v>
      </c>
      <c r="R864" s="627"/>
      <c r="T864" s="631">
        <v>0</v>
      </c>
      <c r="U864" s="631"/>
      <c r="V864" s="631"/>
      <c r="Y864" s="631">
        <v>0</v>
      </c>
      <c r="Z864" s="631"/>
      <c r="AA864" s="631"/>
      <c r="AB864" s="631"/>
      <c r="AC864" s="631"/>
      <c r="AD864" s="631"/>
      <c r="AF864" s="627">
        <v>517928.98</v>
      </c>
      <c r="AG864" s="627"/>
      <c r="AH864" s="627"/>
      <c r="AI864" s="627"/>
      <c r="AJ864" s="627"/>
      <c r="AK864" s="627"/>
      <c r="AL864" s="627"/>
    </row>
    <row r="865" spans="1:38" ht="11.1" customHeight="1" x14ac:dyDescent="0.25">
      <c r="A865" s="630" t="s">
        <v>4187</v>
      </c>
      <c r="B865" s="630"/>
      <c r="C865" s="630"/>
      <c r="K865" s="630" t="s">
        <v>568</v>
      </c>
      <c r="L865" s="630"/>
      <c r="M865" s="630"/>
      <c r="N865" s="630"/>
      <c r="O865" s="630"/>
      <c r="P865" s="630"/>
      <c r="Q865" s="627">
        <v>7573.02</v>
      </c>
      <c r="R865" s="627"/>
      <c r="T865" s="631">
        <v>0</v>
      </c>
      <c r="U865" s="631"/>
      <c r="V865" s="631"/>
      <c r="Y865" s="631">
        <v>0</v>
      </c>
      <c r="Z865" s="631"/>
      <c r="AA865" s="631"/>
      <c r="AB865" s="631"/>
      <c r="AC865" s="631"/>
      <c r="AD865" s="631"/>
      <c r="AF865" s="627">
        <v>7573.02</v>
      </c>
      <c r="AG865" s="627"/>
      <c r="AH865" s="627"/>
      <c r="AI865" s="627"/>
      <c r="AJ865" s="627"/>
      <c r="AK865" s="627"/>
      <c r="AL865" s="627"/>
    </row>
    <row r="866" spans="1:38" ht="11.1" customHeight="1" x14ac:dyDescent="0.25">
      <c r="A866" s="630" t="s">
        <v>4188</v>
      </c>
      <c r="B866" s="630"/>
      <c r="C866" s="630"/>
      <c r="L866" s="630" t="s">
        <v>706</v>
      </c>
      <c r="M866" s="630"/>
      <c r="N866" s="630"/>
      <c r="O866" s="630"/>
      <c r="P866" s="630"/>
      <c r="Q866" s="627">
        <v>7573.02</v>
      </c>
      <c r="R866" s="627"/>
      <c r="T866" s="631">
        <v>0</v>
      </c>
      <c r="U866" s="631"/>
      <c r="V866" s="631"/>
      <c r="Y866" s="631">
        <v>0</v>
      </c>
      <c r="Z866" s="631"/>
      <c r="AA866" s="631"/>
      <c r="AB866" s="631"/>
      <c r="AC866" s="631"/>
      <c r="AD866" s="631"/>
      <c r="AF866" s="627">
        <v>7573.02</v>
      </c>
      <c r="AG866" s="627"/>
      <c r="AH866" s="627"/>
      <c r="AI866" s="627"/>
      <c r="AJ866" s="627"/>
      <c r="AK866" s="627"/>
      <c r="AL866" s="627"/>
    </row>
    <row r="867" spans="1:38" ht="11.1" customHeight="1" x14ac:dyDescent="0.25">
      <c r="A867" s="630" t="s">
        <v>4189</v>
      </c>
      <c r="B867" s="630"/>
      <c r="C867" s="630"/>
      <c r="M867" s="630" t="s">
        <v>568</v>
      </c>
      <c r="N867" s="630"/>
      <c r="O867" s="630"/>
      <c r="P867" s="630"/>
      <c r="Q867" s="627">
        <v>7573.02</v>
      </c>
      <c r="R867" s="627"/>
      <c r="T867" s="631">
        <v>0</v>
      </c>
      <c r="U867" s="631"/>
      <c r="V867" s="631"/>
      <c r="Y867" s="631">
        <v>0</v>
      </c>
      <c r="Z867" s="631"/>
      <c r="AA867" s="631"/>
      <c r="AB867" s="631"/>
      <c r="AC867" s="631"/>
      <c r="AD867" s="631"/>
      <c r="AF867" s="627">
        <v>7573.02</v>
      </c>
      <c r="AG867" s="627"/>
      <c r="AH867" s="627"/>
      <c r="AI867" s="627"/>
      <c r="AJ867" s="627"/>
      <c r="AK867" s="627"/>
      <c r="AL867" s="627"/>
    </row>
    <row r="868" spans="1:38" ht="11.1" customHeight="1" x14ac:dyDescent="0.25">
      <c r="A868" s="630" t="s">
        <v>4190</v>
      </c>
      <c r="B868" s="630"/>
      <c r="C868" s="630"/>
      <c r="K868" s="630" t="s">
        <v>616</v>
      </c>
      <c r="L868" s="630"/>
      <c r="M868" s="630"/>
      <c r="N868" s="630"/>
      <c r="O868" s="630"/>
      <c r="P868" s="630"/>
      <c r="Q868" s="627">
        <v>187117.7</v>
      </c>
      <c r="R868" s="627"/>
      <c r="T868" s="631">
        <v>0</v>
      </c>
      <c r="U868" s="631"/>
      <c r="V868" s="631"/>
      <c r="Y868" s="631">
        <v>0</v>
      </c>
      <c r="Z868" s="631"/>
      <c r="AA868" s="631"/>
      <c r="AB868" s="631"/>
      <c r="AC868" s="631"/>
      <c r="AD868" s="631"/>
      <c r="AF868" s="627">
        <v>187117.7</v>
      </c>
      <c r="AG868" s="627"/>
      <c r="AH868" s="627"/>
      <c r="AI868" s="627"/>
      <c r="AJ868" s="627"/>
      <c r="AK868" s="627"/>
      <c r="AL868" s="627"/>
    </row>
    <row r="869" spans="1:38" ht="11.1" customHeight="1" x14ac:dyDescent="0.25">
      <c r="A869" s="630" t="s">
        <v>4191</v>
      </c>
      <c r="B869" s="630"/>
      <c r="C869" s="630"/>
      <c r="L869" s="630" t="s">
        <v>586</v>
      </c>
      <c r="M869" s="630"/>
      <c r="N869" s="630"/>
      <c r="O869" s="630"/>
      <c r="P869" s="630"/>
      <c r="Q869" s="627">
        <v>84210.93</v>
      </c>
      <c r="R869" s="627"/>
      <c r="T869" s="631">
        <v>0</v>
      </c>
      <c r="U869" s="631"/>
      <c r="V869" s="631"/>
      <c r="Y869" s="631">
        <v>0</v>
      </c>
      <c r="Z869" s="631"/>
      <c r="AA869" s="631"/>
      <c r="AB869" s="631"/>
      <c r="AC869" s="631"/>
      <c r="AD869" s="631"/>
      <c r="AF869" s="627">
        <v>84210.93</v>
      </c>
      <c r="AG869" s="627"/>
      <c r="AH869" s="627"/>
      <c r="AI869" s="627"/>
      <c r="AJ869" s="627"/>
      <c r="AK869" s="627"/>
      <c r="AL869" s="627"/>
    </row>
    <row r="870" spans="1:38" ht="11.1" customHeight="1" x14ac:dyDescent="0.25">
      <c r="A870" s="630" t="s">
        <v>4192</v>
      </c>
      <c r="B870" s="630"/>
      <c r="C870" s="630"/>
      <c r="M870" s="630" t="s">
        <v>616</v>
      </c>
      <c r="N870" s="630"/>
      <c r="O870" s="630"/>
      <c r="P870" s="630"/>
      <c r="Q870" s="627">
        <v>84210.93</v>
      </c>
      <c r="R870" s="627"/>
      <c r="T870" s="631">
        <v>0</v>
      </c>
      <c r="U870" s="631"/>
      <c r="V870" s="631"/>
      <c r="Y870" s="631">
        <v>0</v>
      </c>
      <c r="Z870" s="631"/>
      <c r="AA870" s="631"/>
      <c r="AB870" s="631"/>
      <c r="AC870" s="631"/>
      <c r="AD870" s="631"/>
      <c r="AF870" s="627">
        <v>84210.93</v>
      </c>
      <c r="AG870" s="627"/>
      <c r="AH870" s="627"/>
      <c r="AI870" s="627"/>
      <c r="AJ870" s="627"/>
      <c r="AK870" s="627"/>
      <c r="AL870" s="627"/>
    </row>
    <row r="871" spans="1:38" ht="11.1" customHeight="1" x14ac:dyDescent="0.25">
      <c r="A871" s="630" t="s">
        <v>4193</v>
      </c>
      <c r="B871" s="630"/>
      <c r="C871" s="630"/>
      <c r="L871" s="630" t="s">
        <v>591</v>
      </c>
      <c r="M871" s="630"/>
      <c r="N871" s="630"/>
      <c r="O871" s="630"/>
      <c r="P871" s="630"/>
      <c r="Q871" s="627">
        <v>102906.77</v>
      </c>
      <c r="R871" s="627"/>
      <c r="T871" s="631">
        <v>0</v>
      </c>
      <c r="U871" s="631"/>
      <c r="V871" s="631"/>
      <c r="Y871" s="631">
        <v>0</v>
      </c>
      <c r="Z871" s="631"/>
      <c r="AA871" s="631"/>
      <c r="AB871" s="631"/>
      <c r="AC871" s="631"/>
      <c r="AD871" s="631"/>
      <c r="AF871" s="627">
        <v>102906.77</v>
      </c>
      <c r="AG871" s="627"/>
      <c r="AH871" s="627"/>
      <c r="AI871" s="627"/>
      <c r="AJ871" s="627"/>
      <c r="AK871" s="627"/>
      <c r="AL871" s="627"/>
    </row>
    <row r="872" spans="1:38" ht="11.1" customHeight="1" x14ac:dyDescent="0.25">
      <c r="A872" s="630" t="s">
        <v>4194</v>
      </c>
      <c r="B872" s="630"/>
      <c r="C872" s="630"/>
      <c r="M872" s="630" t="s">
        <v>616</v>
      </c>
      <c r="N872" s="630"/>
      <c r="O872" s="630"/>
      <c r="P872" s="630"/>
      <c r="Q872" s="627">
        <v>102906.77</v>
      </c>
      <c r="R872" s="627"/>
      <c r="T872" s="631">
        <v>0</v>
      </c>
      <c r="U872" s="631"/>
      <c r="V872" s="631"/>
      <c r="Y872" s="631">
        <v>0</v>
      </c>
      <c r="Z872" s="631"/>
      <c r="AA872" s="631"/>
      <c r="AB872" s="631"/>
      <c r="AC872" s="631"/>
      <c r="AD872" s="631"/>
      <c r="AF872" s="627">
        <v>102906.77</v>
      </c>
      <c r="AG872" s="627"/>
      <c r="AH872" s="627"/>
      <c r="AI872" s="627"/>
      <c r="AJ872" s="627"/>
      <c r="AK872" s="627"/>
      <c r="AL872" s="627"/>
    </row>
    <row r="873" spans="1:38" ht="11.1" customHeight="1" x14ac:dyDescent="0.25">
      <c r="A873" s="630" t="s">
        <v>4195</v>
      </c>
      <c r="B873" s="630"/>
      <c r="C873" s="630"/>
      <c r="K873" s="630" t="s">
        <v>626</v>
      </c>
      <c r="L873" s="630"/>
      <c r="M873" s="630"/>
      <c r="N873" s="630"/>
      <c r="O873" s="630"/>
      <c r="P873" s="630"/>
      <c r="Q873" s="627">
        <v>2076</v>
      </c>
      <c r="R873" s="627"/>
      <c r="T873" s="631">
        <v>0</v>
      </c>
      <c r="U873" s="631"/>
      <c r="V873" s="631"/>
      <c r="Y873" s="631">
        <v>0</v>
      </c>
      <c r="Z873" s="631"/>
      <c r="AA873" s="631"/>
      <c r="AB873" s="631"/>
      <c r="AC873" s="631"/>
      <c r="AD873" s="631"/>
      <c r="AF873" s="627">
        <v>2076</v>
      </c>
      <c r="AG873" s="627"/>
      <c r="AH873" s="627"/>
      <c r="AI873" s="627"/>
      <c r="AJ873" s="627"/>
      <c r="AK873" s="627"/>
      <c r="AL873" s="627"/>
    </row>
    <row r="874" spans="1:38" ht="11.1" customHeight="1" x14ac:dyDescent="0.25">
      <c r="A874" s="630" t="s">
        <v>4196</v>
      </c>
      <c r="B874" s="630"/>
      <c r="C874" s="630"/>
      <c r="L874" s="630" t="s">
        <v>586</v>
      </c>
      <c r="M874" s="630"/>
      <c r="N874" s="630"/>
      <c r="O874" s="630"/>
      <c r="P874" s="630"/>
      <c r="Q874" s="627">
        <v>2076</v>
      </c>
      <c r="R874" s="627"/>
      <c r="T874" s="631">
        <v>0</v>
      </c>
      <c r="U874" s="631"/>
      <c r="V874" s="631"/>
      <c r="Y874" s="631">
        <v>0</v>
      </c>
      <c r="Z874" s="631"/>
      <c r="AA874" s="631"/>
      <c r="AB874" s="631"/>
      <c r="AC874" s="631"/>
      <c r="AD874" s="631"/>
      <c r="AF874" s="627">
        <v>2076</v>
      </c>
      <c r="AG874" s="627"/>
      <c r="AH874" s="627"/>
      <c r="AI874" s="627"/>
      <c r="AJ874" s="627"/>
      <c r="AK874" s="627"/>
      <c r="AL874" s="627"/>
    </row>
    <row r="875" spans="1:38" ht="11.1" customHeight="1" x14ac:dyDescent="0.25">
      <c r="A875" s="630" t="s">
        <v>4197</v>
      </c>
      <c r="B875" s="630"/>
      <c r="C875" s="630"/>
      <c r="M875" s="630" t="s">
        <v>626</v>
      </c>
      <c r="N875" s="630"/>
      <c r="O875" s="630"/>
      <c r="P875" s="630"/>
      <c r="Q875" s="627">
        <v>2076</v>
      </c>
      <c r="R875" s="627"/>
      <c r="T875" s="631">
        <v>0</v>
      </c>
      <c r="U875" s="631"/>
      <c r="V875" s="631"/>
      <c r="Y875" s="631">
        <v>0</v>
      </c>
      <c r="Z875" s="631"/>
      <c r="AA875" s="631"/>
      <c r="AB875" s="631"/>
      <c r="AC875" s="631"/>
      <c r="AD875" s="631"/>
      <c r="AF875" s="627">
        <v>2076</v>
      </c>
      <c r="AG875" s="627"/>
      <c r="AH875" s="627"/>
      <c r="AI875" s="627"/>
      <c r="AJ875" s="627"/>
      <c r="AK875" s="627"/>
      <c r="AL875" s="627"/>
    </row>
    <row r="876" spans="1:38" ht="11.1" customHeight="1" x14ac:dyDescent="0.25">
      <c r="A876" s="630" t="s">
        <v>4198</v>
      </c>
      <c r="B876" s="630"/>
      <c r="C876" s="630"/>
      <c r="K876" s="630" t="s">
        <v>632</v>
      </c>
      <c r="L876" s="630"/>
      <c r="M876" s="630"/>
      <c r="N876" s="630"/>
      <c r="O876" s="630"/>
      <c r="P876" s="630"/>
      <c r="Q876" s="627">
        <v>11387.26</v>
      </c>
      <c r="R876" s="627"/>
      <c r="T876" s="631">
        <v>0</v>
      </c>
      <c r="U876" s="631"/>
      <c r="V876" s="631"/>
      <c r="Y876" s="631">
        <v>0</v>
      </c>
      <c r="Z876" s="631"/>
      <c r="AA876" s="631"/>
      <c r="AB876" s="631"/>
      <c r="AC876" s="631"/>
      <c r="AD876" s="631"/>
      <c r="AF876" s="627">
        <v>11387.26</v>
      </c>
      <c r="AG876" s="627"/>
      <c r="AH876" s="627"/>
      <c r="AI876" s="627"/>
      <c r="AJ876" s="627"/>
      <c r="AK876" s="627"/>
      <c r="AL876" s="627"/>
    </row>
    <row r="877" spans="1:38" ht="11.1" customHeight="1" x14ac:dyDescent="0.25">
      <c r="A877" s="630" t="s">
        <v>4199</v>
      </c>
      <c r="B877" s="630"/>
      <c r="C877" s="630"/>
      <c r="L877" s="630" t="s">
        <v>586</v>
      </c>
      <c r="M877" s="630"/>
      <c r="N877" s="630"/>
      <c r="O877" s="630"/>
      <c r="P877" s="630"/>
      <c r="Q877" s="627">
        <v>9774.8799999999992</v>
      </c>
      <c r="R877" s="627"/>
      <c r="T877" s="631">
        <v>0</v>
      </c>
      <c r="U877" s="631"/>
      <c r="V877" s="631"/>
      <c r="Y877" s="631">
        <v>0</v>
      </c>
      <c r="Z877" s="631"/>
      <c r="AA877" s="631"/>
      <c r="AB877" s="631"/>
      <c r="AC877" s="631"/>
      <c r="AD877" s="631"/>
      <c r="AF877" s="627">
        <v>9774.8799999999992</v>
      </c>
      <c r="AG877" s="627"/>
      <c r="AH877" s="627"/>
      <c r="AI877" s="627"/>
      <c r="AJ877" s="627"/>
      <c r="AK877" s="627"/>
      <c r="AL877" s="627"/>
    </row>
    <row r="878" spans="1:38" ht="11.1" customHeight="1" x14ac:dyDescent="0.25">
      <c r="A878" s="630" t="s">
        <v>4200</v>
      </c>
      <c r="B878" s="630"/>
      <c r="C878" s="630"/>
      <c r="M878" s="630" t="s">
        <v>632</v>
      </c>
      <c r="N878" s="630"/>
      <c r="O878" s="630"/>
      <c r="P878" s="630"/>
      <c r="Q878" s="627">
        <v>9774.8799999999992</v>
      </c>
      <c r="R878" s="627"/>
      <c r="T878" s="631">
        <v>0</v>
      </c>
      <c r="U878" s="631"/>
      <c r="V878" s="631"/>
      <c r="Y878" s="631">
        <v>0</v>
      </c>
      <c r="Z878" s="631"/>
      <c r="AA878" s="631"/>
      <c r="AB878" s="631"/>
      <c r="AC878" s="631"/>
      <c r="AD878" s="631"/>
      <c r="AF878" s="627">
        <v>9774.8799999999992</v>
      </c>
      <c r="AG878" s="627"/>
      <c r="AH878" s="627"/>
      <c r="AI878" s="627"/>
      <c r="AJ878" s="627"/>
      <c r="AK878" s="627"/>
      <c r="AL878" s="627"/>
    </row>
    <row r="879" spans="1:38" ht="11.1" customHeight="1" x14ac:dyDescent="0.25">
      <c r="A879" s="630" t="s">
        <v>4201</v>
      </c>
      <c r="B879" s="630"/>
      <c r="C879" s="630"/>
      <c r="L879" s="630" t="s">
        <v>591</v>
      </c>
      <c r="M879" s="630"/>
      <c r="N879" s="630"/>
      <c r="O879" s="630"/>
      <c r="P879" s="630"/>
      <c r="Q879" s="627">
        <v>1612.38</v>
      </c>
      <c r="R879" s="627"/>
      <c r="T879" s="631">
        <v>0</v>
      </c>
      <c r="U879" s="631"/>
      <c r="V879" s="631"/>
      <c r="Y879" s="631">
        <v>0</v>
      </c>
      <c r="Z879" s="631"/>
      <c r="AA879" s="631"/>
      <c r="AB879" s="631"/>
      <c r="AC879" s="631"/>
      <c r="AD879" s="631"/>
      <c r="AF879" s="627">
        <v>1612.38</v>
      </c>
      <c r="AG879" s="627"/>
      <c r="AH879" s="627"/>
      <c r="AI879" s="627"/>
      <c r="AJ879" s="627"/>
      <c r="AK879" s="627"/>
      <c r="AL879" s="627"/>
    </row>
    <row r="880" spans="1:38" ht="11.1" customHeight="1" x14ac:dyDescent="0.25">
      <c r="A880" s="630" t="s">
        <v>4202</v>
      </c>
      <c r="B880" s="630"/>
      <c r="C880" s="630"/>
      <c r="M880" s="630" t="s">
        <v>632</v>
      </c>
      <c r="N880" s="630"/>
      <c r="O880" s="630"/>
      <c r="P880" s="630"/>
      <c r="Q880" s="627">
        <v>1612.38</v>
      </c>
      <c r="R880" s="627"/>
      <c r="T880" s="631">
        <v>0</v>
      </c>
      <c r="U880" s="631"/>
      <c r="V880" s="631"/>
      <c r="Y880" s="631">
        <v>0</v>
      </c>
      <c r="Z880" s="631"/>
      <c r="AA880" s="631"/>
      <c r="AB880" s="631"/>
      <c r="AC880" s="631"/>
      <c r="AD880" s="631"/>
      <c r="AF880" s="627">
        <v>1612.38</v>
      </c>
      <c r="AG880" s="627"/>
      <c r="AH880" s="627"/>
      <c r="AI880" s="627"/>
      <c r="AJ880" s="627"/>
      <c r="AK880" s="627"/>
      <c r="AL880" s="627"/>
    </row>
    <row r="881" spans="1:38" ht="11.1" customHeight="1" x14ac:dyDescent="0.25">
      <c r="A881" s="632" t="s">
        <v>4203</v>
      </c>
      <c r="B881" s="632"/>
      <c r="C881" s="632"/>
      <c r="J881" s="632" t="s">
        <v>642</v>
      </c>
      <c r="K881" s="632"/>
      <c r="L881" s="632"/>
      <c r="M881" s="632"/>
      <c r="N881" s="632"/>
      <c r="O881" s="632"/>
      <c r="P881" s="632"/>
      <c r="Q881" s="633">
        <v>-726082.96</v>
      </c>
      <c r="R881" s="633"/>
      <c r="T881" s="634">
        <v>0</v>
      </c>
      <c r="U881" s="634"/>
      <c r="V881" s="634"/>
      <c r="Y881" s="634">
        <v>0</v>
      </c>
      <c r="Z881" s="634"/>
      <c r="AA881" s="634"/>
      <c r="AB881" s="634"/>
      <c r="AC881" s="634"/>
      <c r="AD881" s="634"/>
      <c r="AF881" s="633">
        <v>-726082.96</v>
      </c>
      <c r="AG881" s="633"/>
      <c r="AH881" s="633"/>
      <c r="AI881" s="633"/>
      <c r="AJ881" s="633"/>
      <c r="AK881" s="633"/>
      <c r="AL881" s="633"/>
    </row>
    <row r="882" spans="1:38" ht="11.1" customHeight="1" x14ac:dyDescent="0.25">
      <c r="A882" s="630" t="s">
        <v>4204</v>
      </c>
      <c r="B882" s="630"/>
      <c r="C882" s="630"/>
      <c r="K882" s="630" t="s">
        <v>595</v>
      </c>
      <c r="L882" s="630"/>
      <c r="M882" s="630"/>
      <c r="N882" s="630"/>
      <c r="O882" s="630"/>
      <c r="P882" s="630"/>
      <c r="Q882" s="627">
        <v>-517928.98</v>
      </c>
      <c r="R882" s="627"/>
      <c r="T882" s="631">
        <v>0</v>
      </c>
      <c r="U882" s="631"/>
      <c r="V882" s="631"/>
      <c r="Y882" s="631">
        <v>0</v>
      </c>
      <c r="Z882" s="631"/>
      <c r="AA882" s="631"/>
      <c r="AB882" s="631"/>
      <c r="AC882" s="631"/>
      <c r="AD882" s="631"/>
      <c r="AF882" s="627">
        <v>-517928.98</v>
      </c>
      <c r="AG882" s="627"/>
      <c r="AH882" s="627"/>
      <c r="AI882" s="627"/>
      <c r="AJ882" s="627"/>
      <c r="AK882" s="627"/>
      <c r="AL882" s="627"/>
    </row>
    <row r="883" spans="1:38" ht="11.1" customHeight="1" x14ac:dyDescent="0.25">
      <c r="A883" s="630" t="s">
        <v>4205</v>
      </c>
      <c r="B883" s="630"/>
      <c r="C883" s="630"/>
      <c r="L883" s="630" t="s">
        <v>591</v>
      </c>
      <c r="M883" s="630"/>
      <c r="N883" s="630"/>
      <c r="O883" s="630"/>
      <c r="P883" s="630"/>
      <c r="Q883" s="627">
        <v>-517928.98</v>
      </c>
      <c r="R883" s="627"/>
      <c r="T883" s="631">
        <v>0</v>
      </c>
      <c r="U883" s="631"/>
      <c r="V883" s="631"/>
      <c r="Y883" s="631">
        <v>0</v>
      </c>
      <c r="Z883" s="631"/>
      <c r="AA883" s="631"/>
      <c r="AB883" s="631"/>
      <c r="AC883" s="631"/>
      <c r="AD883" s="631"/>
      <c r="AF883" s="627">
        <v>-517928.98</v>
      </c>
      <c r="AG883" s="627"/>
      <c r="AH883" s="627"/>
      <c r="AI883" s="627"/>
      <c r="AJ883" s="627"/>
      <c r="AK883" s="627"/>
      <c r="AL883" s="627"/>
    </row>
    <row r="884" spans="1:38" ht="11.1" customHeight="1" x14ac:dyDescent="0.25">
      <c r="A884" s="630" t="s">
        <v>4206</v>
      </c>
      <c r="B884" s="630"/>
      <c r="C884" s="630"/>
      <c r="M884" s="630" t="s">
        <v>595</v>
      </c>
      <c r="N884" s="630"/>
      <c r="O884" s="630"/>
      <c r="P884" s="630"/>
      <c r="Q884" s="627">
        <v>-517928.98</v>
      </c>
      <c r="R884" s="627"/>
      <c r="T884" s="631">
        <v>0</v>
      </c>
      <c r="U884" s="631"/>
      <c r="V884" s="631"/>
      <c r="Y884" s="631">
        <v>0</v>
      </c>
      <c r="Z884" s="631"/>
      <c r="AA884" s="631"/>
      <c r="AB884" s="631"/>
      <c r="AC884" s="631"/>
      <c r="AD884" s="631"/>
      <c r="AF884" s="627">
        <v>-517928.98</v>
      </c>
      <c r="AG884" s="627"/>
      <c r="AH884" s="627"/>
      <c r="AI884" s="627"/>
      <c r="AJ884" s="627"/>
      <c r="AK884" s="627"/>
      <c r="AL884" s="627"/>
    </row>
    <row r="885" spans="1:38" ht="11.1" customHeight="1" x14ac:dyDescent="0.25">
      <c r="A885" s="630" t="s">
        <v>4207</v>
      </c>
      <c r="B885" s="630"/>
      <c r="C885" s="630"/>
      <c r="K885" s="630" t="s">
        <v>568</v>
      </c>
      <c r="L885" s="630"/>
      <c r="M885" s="630"/>
      <c r="N885" s="630"/>
      <c r="O885" s="630"/>
      <c r="P885" s="630"/>
      <c r="Q885" s="627">
        <v>-7573.02</v>
      </c>
      <c r="R885" s="627"/>
      <c r="T885" s="631">
        <v>0</v>
      </c>
      <c r="U885" s="631"/>
      <c r="V885" s="631"/>
      <c r="Y885" s="631">
        <v>0</v>
      </c>
      <c r="Z885" s="631"/>
      <c r="AA885" s="631"/>
      <c r="AB885" s="631"/>
      <c r="AC885" s="631"/>
      <c r="AD885" s="631"/>
      <c r="AF885" s="627">
        <v>-7573.02</v>
      </c>
      <c r="AG885" s="627"/>
      <c r="AH885" s="627"/>
      <c r="AI885" s="627"/>
      <c r="AJ885" s="627"/>
      <c r="AK885" s="627"/>
      <c r="AL885" s="627"/>
    </row>
    <row r="886" spans="1:38" ht="11.1" customHeight="1" x14ac:dyDescent="0.25">
      <c r="A886" s="630" t="s">
        <v>4208</v>
      </c>
      <c r="B886" s="630"/>
      <c r="C886" s="630"/>
      <c r="L886" s="630" t="s">
        <v>591</v>
      </c>
      <c r="M886" s="630"/>
      <c r="N886" s="630"/>
      <c r="O886" s="630"/>
      <c r="P886" s="630"/>
      <c r="Q886" s="627">
        <v>-7573.02</v>
      </c>
      <c r="R886" s="627"/>
      <c r="T886" s="631">
        <v>0</v>
      </c>
      <c r="U886" s="631"/>
      <c r="V886" s="631"/>
      <c r="Y886" s="631">
        <v>0</v>
      </c>
      <c r="Z886" s="631"/>
      <c r="AA886" s="631"/>
      <c r="AB886" s="631"/>
      <c r="AC886" s="631"/>
      <c r="AD886" s="631"/>
      <c r="AF886" s="627">
        <v>-7573.02</v>
      </c>
      <c r="AG886" s="627"/>
      <c r="AH886" s="627"/>
      <c r="AI886" s="627"/>
      <c r="AJ886" s="627"/>
      <c r="AK886" s="627"/>
      <c r="AL886" s="627"/>
    </row>
    <row r="887" spans="1:38" ht="11.1" customHeight="1" x14ac:dyDescent="0.25">
      <c r="A887" s="630" t="s">
        <v>4209</v>
      </c>
      <c r="B887" s="630"/>
      <c r="C887" s="630"/>
      <c r="M887" s="630" t="s">
        <v>568</v>
      </c>
      <c r="N887" s="630"/>
      <c r="O887" s="630"/>
      <c r="P887" s="630"/>
      <c r="Q887" s="627">
        <v>-7573.02</v>
      </c>
      <c r="R887" s="627"/>
      <c r="T887" s="631">
        <v>0</v>
      </c>
      <c r="U887" s="631"/>
      <c r="V887" s="631"/>
      <c r="Y887" s="631">
        <v>0</v>
      </c>
      <c r="Z887" s="631"/>
      <c r="AA887" s="631"/>
      <c r="AB887" s="631"/>
      <c r="AC887" s="631"/>
      <c r="AD887" s="631"/>
      <c r="AF887" s="627">
        <v>-7573.02</v>
      </c>
      <c r="AG887" s="627"/>
      <c r="AH887" s="627"/>
      <c r="AI887" s="627"/>
      <c r="AJ887" s="627"/>
      <c r="AK887" s="627"/>
      <c r="AL887" s="627"/>
    </row>
    <row r="888" spans="1:38" ht="11.1" customHeight="1" x14ac:dyDescent="0.25">
      <c r="A888" s="630" t="s">
        <v>4210</v>
      </c>
      <c r="B888" s="630"/>
      <c r="C888" s="630"/>
      <c r="K888" s="630" t="s">
        <v>616</v>
      </c>
      <c r="L888" s="630"/>
      <c r="M888" s="630"/>
      <c r="N888" s="630"/>
      <c r="O888" s="630"/>
      <c r="P888" s="630"/>
      <c r="Q888" s="627">
        <v>-187117.7</v>
      </c>
      <c r="R888" s="627"/>
      <c r="T888" s="631">
        <v>0</v>
      </c>
      <c r="U888" s="631"/>
      <c r="V888" s="631"/>
      <c r="Y888" s="631">
        <v>0</v>
      </c>
      <c r="Z888" s="631"/>
      <c r="AA888" s="631"/>
      <c r="AB888" s="631"/>
      <c r="AC888" s="631"/>
      <c r="AD888" s="631"/>
      <c r="AF888" s="627">
        <v>-187117.7</v>
      </c>
      <c r="AG888" s="627"/>
      <c r="AH888" s="627"/>
      <c r="AI888" s="627"/>
      <c r="AJ888" s="627"/>
      <c r="AK888" s="627"/>
      <c r="AL888" s="627"/>
    </row>
    <row r="889" spans="1:38" ht="11.1" customHeight="1" x14ac:dyDescent="0.25">
      <c r="A889" s="630" t="s">
        <v>4211</v>
      </c>
      <c r="B889" s="630"/>
      <c r="C889" s="630"/>
      <c r="L889" s="630" t="s">
        <v>586</v>
      </c>
      <c r="M889" s="630"/>
      <c r="N889" s="630"/>
      <c r="O889" s="630"/>
      <c r="P889" s="630"/>
      <c r="Q889" s="627">
        <v>-84210.93</v>
      </c>
      <c r="R889" s="627"/>
      <c r="T889" s="631">
        <v>0</v>
      </c>
      <c r="U889" s="631"/>
      <c r="V889" s="631"/>
      <c r="Y889" s="631">
        <v>0</v>
      </c>
      <c r="Z889" s="631"/>
      <c r="AA889" s="631"/>
      <c r="AB889" s="631"/>
      <c r="AC889" s="631"/>
      <c r="AD889" s="631"/>
      <c r="AF889" s="627">
        <v>-84210.93</v>
      </c>
      <c r="AG889" s="627"/>
      <c r="AH889" s="627"/>
      <c r="AI889" s="627"/>
      <c r="AJ889" s="627"/>
      <c r="AK889" s="627"/>
      <c r="AL889" s="627"/>
    </row>
    <row r="890" spans="1:38" ht="11.1" customHeight="1" x14ac:dyDescent="0.25">
      <c r="A890" s="630" t="s">
        <v>4212</v>
      </c>
      <c r="B890" s="630"/>
      <c r="C890" s="630"/>
      <c r="M890" s="630" t="s">
        <v>616</v>
      </c>
      <c r="N890" s="630"/>
      <c r="O890" s="630"/>
      <c r="P890" s="630"/>
      <c r="Q890" s="627">
        <v>-84210.93</v>
      </c>
      <c r="R890" s="627"/>
      <c r="T890" s="631">
        <v>0</v>
      </c>
      <c r="U890" s="631"/>
      <c r="V890" s="631"/>
      <c r="Y890" s="631">
        <v>0</v>
      </c>
      <c r="Z890" s="631"/>
      <c r="AA890" s="631"/>
      <c r="AB890" s="631"/>
      <c r="AC890" s="631"/>
      <c r="AD890" s="631"/>
      <c r="AF890" s="627">
        <v>-84210.93</v>
      </c>
      <c r="AG890" s="627"/>
      <c r="AH890" s="627"/>
      <c r="AI890" s="627"/>
      <c r="AJ890" s="627"/>
      <c r="AK890" s="627"/>
      <c r="AL890" s="627"/>
    </row>
    <row r="891" spans="1:38" ht="11.1" customHeight="1" x14ac:dyDescent="0.25">
      <c r="A891" s="630" t="s">
        <v>4213</v>
      </c>
      <c r="B891" s="630"/>
      <c r="C891" s="630"/>
      <c r="L891" s="630" t="s">
        <v>591</v>
      </c>
      <c r="M891" s="630"/>
      <c r="N891" s="630"/>
      <c r="O891" s="630"/>
      <c r="P891" s="630"/>
      <c r="Q891" s="627">
        <v>-102906.77</v>
      </c>
      <c r="R891" s="627"/>
      <c r="T891" s="631">
        <v>0</v>
      </c>
      <c r="U891" s="631"/>
      <c r="V891" s="631"/>
      <c r="Y891" s="631">
        <v>0</v>
      </c>
      <c r="Z891" s="631"/>
      <c r="AA891" s="631"/>
      <c r="AB891" s="631"/>
      <c r="AC891" s="631"/>
      <c r="AD891" s="631"/>
      <c r="AF891" s="627">
        <v>-102906.77</v>
      </c>
      <c r="AG891" s="627"/>
      <c r="AH891" s="627"/>
      <c r="AI891" s="627"/>
      <c r="AJ891" s="627"/>
      <c r="AK891" s="627"/>
      <c r="AL891" s="627"/>
    </row>
    <row r="892" spans="1:38" ht="11.1" customHeight="1" x14ac:dyDescent="0.25">
      <c r="A892" s="630" t="s">
        <v>4214</v>
      </c>
      <c r="B892" s="630"/>
      <c r="C892" s="630"/>
      <c r="M892" s="630" t="s">
        <v>616</v>
      </c>
      <c r="N892" s="630"/>
      <c r="O892" s="630"/>
      <c r="P892" s="630"/>
      <c r="Q892" s="627">
        <v>-102906.77</v>
      </c>
      <c r="R892" s="627"/>
      <c r="T892" s="631">
        <v>0</v>
      </c>
      <c r="U892" s="631"/>
      <c r="V892" s="631"/>
      <c r="Y892" s="631">
        <v>0</v>
      </c>
      <c r="Z892" s="631"/>
      <c r="AA892" s="631"/>
      <c r="AB892" s="631"/>
      <c r="AC892" s="631"/>
      <c r="AD892" s="631"/>
      <c r="AF892" s="627">
        <v>-102906.77</v>
      </c>
      <c r="AG892" s="627"/>
      <c r="AH892" s="627"/>
      <c r="AI892" s="627"/>
      <c r="AJ892" s="627"/>
      <c r="AK892" s="627"/>
      <c r="AL892" s="627"/>
    </row>
    <row r="893" spans="1:38" ht="11.1" customHeight="1" x14ac:dyDescent="0.25">
      <c r="A893" s="630" t="s">
        <v>4215</v>
      </c>
      <c r="B893" s="630"/>
      <c r="C893" s="630"/>
      <c r="K893" s="630" t="s">
        <v>626</v>
      </c>
      <c r="L893" s="630"/>
      <c r="M893" s="630"/>
      <c r="N893" s="630"/>
      <c r="O893" s="630"/>
      <c r="P893" s="630"/>
      <c r="Q893" s="627">
        <v>-2076</v>
      </c>
      <c r="R893" s="627"/>
      <c r="T893" s="631">
        <v>0</v>
      </c>
      <c r="U893" s="631"/>
      <c r="V893" s="631"/>
      <c r="Y893" s="631">
        <v>0</v>
      </c>
      <c r="Z893" s="631"/>
      <c r="AA893" s="631"/>
      <c r="AB893" s="631"/>
      <c r="AC893" s="631"/>
      <c r="AD893" s="631"/>
      <c r="AF893" s="627">
        <v>-2076</v>
      </c>
      <c r="AG893" s="627"/>
      <c r="AH893" s="627"/>
      <c r="AI893" s="627"/>
      <c r="AJ893" s="627"/>
      <c r="AK893" s="627"/>
      <c r="AL893" s="627"/>
    </row>
    <row r="894" spans="1:38" ht="11.1" customHeight="1" x14ac:dyDescent="0.25">
      <c r="A894" s="630" t="s">
        <v>4216</v>
      </c>
      <c r="B894" s="630"/>
      <c r="C894" s="630"/>
      <c r="L894" s="630" t="s">
        <v>586</v>
      </c>
      <c r="M894" s="630"/>
      <c r="N894" s="630"/>
      <c r="O894" s="630"/>
      <c r="P894" s="630"/>
      <c r="Q894" s="627">
        <v>-2076</v>
      </c>
      <c r="R894" s="627"/>
      <c r="T894" s="631">
        <v>0</v>
      </c>
      <c r="U894" s="631"/>
      <c r="V894" s="631"/>
      <c r="Y894" s="631">
        <v>0</v>
      </c>
      <c r="Z894" s="631"/>
      <c r="AA894" s="631"/>
      <c r="AB894" s="631"/>
      <c r="AC894" s="631"/>
      <c r="AD894" s="631"/>
      <c r="AF894" s="627">
        <v>-2076</v>
      </c>
      <c r="AG894" s="627"/>
      <c r="AH894" s="627"/>
      <c r="AI894" s="627"/>
      <c r="AJ894" s="627"/>
      <c r="AK894" s="627"/>
      <c r="AL894" s="627"/>
    </row>
    <row r="895" spans="1:38" ht="11.1" customHeight="1" x14ac:dyDescent="0.25">
      <c r="A895" s="630" t="s">
        <v>4217</v>
      </c>
      <c r="B895" s="630"/>
      <c r="C895" s="630"/>
      <c r="M895" s="630" t="s">
        <v>626</v>
      </c>
      <c r="N895" s="630"/>
      <c r="O895" s="630"/>
      <c r="P895" s="630"/>
      <c r="Q895" s="627">
        <v>-2076</v>
      </c>
      <c r="R895" s="627"/>
      <c r="T895" s="631">
        <v>0</v>
      </c>
      <c r="U895" s="631"/>
      <c r="V895" s="631"/>
      <c r="Y895" s="631">
        <v>0</v>
      </c>
      <c r="Z895" s="631"/>
      <c r="AA895" s="631"/>
      <c r="AB895" s="631"/>
      <c r="AC895" s="631"/>
      <c r="AD895" s="631"/>
      <c r="AF895" s="627">
        <v>-2076</v>
      </c>
      <c r="AG895" s="627"/>
      <c r="AH895" s="627"/>
      <c r="AI895" s="627"/>
      <c r="AJ895" s="627"/>
      <c r="AK895" s="627"/>
      <c r="AL895" s="627"/>
    </row>
    <row r="896" spans="1:38" ht="11.1" customHeight="1" x14ac:dyDescent="0.25">
      <c r="A896" s="630" t="s">
        <v>4218</v>
      </c>
      <c r="B896" s="630"/>
      <c r="C896" s="630"/>
      <c r="K896" s="630" t="s">
        <v>632</v>
      </c>
      <c r="L896" s="630"/>
      <c r="M896" s="630"/>
      <c r="N896" s="630"/>
      <c r="O896" s="630"/>
      <c r="P896" s="630"/>
      <c r="Q896" s="627">
        <v>-11387.26</v>
      </c>
      <c r="R896" s="627"/>
      <c r="T896" s="631">
        <v>0</v>
      </c>
      <c r="U896" s="631"/>
      <c r="V896" s="631"/>
      <c r="Y896" s="631">
        <v>0</v>
      </c>
      <c r="Z896" s="631"/>
      <c r="AA896" s="631"/>
      <c r="AB896" s="631"/>
      <c r="AC896" s="631"/>
      <c r="AD896" s="631"/>
      <c r="AF896" s="627">
        <v>-11387.26</v>
      </c>
      <c r="AG896" s="627"/>
      <c r="AH896" s="627"/>
      <c r="AI896" s="627"/>
      <c r="AJ896" s="627"/>
      <c r="AK896" s="627"/>
      <c r="AL896" s="627"/>
    </row>
    <row r="897" spans="1:38" ht="11.1" customHeight="1" x14ac:dyDescent="0.25">
      <c r="A897" s="630" t="s">
        <v>4219</v>
      </c>
      <c r="B897" s="630"/>
      <c r="C897" s="630"/>
      <c r="L897" s="630" t="s">
        <v>586</v>
      </c>
      <c r="M897" s="630"/>
      <c r="N897" s="630"/>
      <c r="O897" s="630"/>
      <c r="P897" s="630"/>
      <c r="Q897" s="627">
        <v>-9774.8799999999992</v>
      </c>
      <c r="R897" s="627"/>
      <c r="T897" s="631">
        <v>0</v>
      </c>
      <c r="U897" s="631"/>
      <c r="V897" s="631"/>
      <c r="Y897" s="631">
        <v>0</v>
      </c>
      <c r="Z897" s="631"/>
      <c r="AA897" s="631"/>
      <c r="AB897" s="631"/>
      <c r="AC897" s="631"/>
      <c r="AD897" s="631"/>
      <c r="AF897" s="627">
        <v>-9774.8799999999992</v>
      </c>
      <c r="AG897" s="627"/>
      <c r="AH897" s="627"/>
      <c r="AI897" s="627"/>
      <c r="AJ897" s="627"/>
      <c r="AK897" s="627"/>
      <c r="AL897" s="627"/>
    </row>
    <row r="898" spans="1:38" ht="11.1" customHeight="1" x14ac:dyDescent="0.25">
      <c r="A898" s="630" t="s">
        <v>4220</v>
      </c>
      <c r="B898" s="630"/>
      <c r="C898" s="630"/>
      <c r="M898" s="630" t="s">
        <v>632</v>
      </c>
      <c r="N898" s="630"/>
      <c r="O898" s="630"/>
      <c r="P898" s="630"/>
      <c r="Q898" s="627">
        <v>-9774.8799999999992</v>
      </c>
      <c r="R898" s="627"/>
      <c r="T898" s="631">
        <v>0</v>
      </c>
      <c r="U898" s="631"/>
      <c r="V898" s="631"/>
      <c r="Y898" s="631">
        <v>0</v>
      </c>
      <c r="Z898" s="631"/>
      <c r="AA898" s="631"/>
      <c r="AB898" s="631"/>
      <c r="AC898" s="631"/>
      <c r="AD898" s="631"/>
      <c r="AF898" s="627">
        <v>-9774.8799999999992</v>
      </c>
      <c r="AG898" s="627"/>
      <c r="AH898" s="627"/>
      <c r="AI898" s="627"/>
      <c r="AJ898" s="627"/>
      <c r="AK898" s="627"/>
      <c r="AL898" s="627"/>
    </row>
    <row r="899" spans="1:38" ht="11.1" customHeight="1" x14ac:dyDescent="0.25">
      <c r="A899" s="630" t="s">
        <v>4221</v>
      </c>
      <c r="B899" s="630"/>
      <c r="C899" s="630"/>
      <c r="L899" s="630" t="s">
        <v>591</v>
      </c>
      <c r="M899" s="630"/>
      <c r="N899" s="630"/>
      <c r="O899" s="630"/>
      <c r="P899" s="630"/>
      <c r="Q899" s="627">
        <v>-1612.38</v>
      </c>
      <c r="R899" s="627"/>
      <c r="T899" s="631">
        <v>0</v>
      </c>
      <c r="U899" s="631"/>
      <c r="V899" s="631"/>
      <c r="Y899" s="631">
        <v>0</v>
      </c>
      <c r="Z899" s="631"/>
      <c r="AA899" s="631"/>
      <c r="AB899" s="631"/>
      <c r="AC899" s="631"/>
      <c r="AD899" s="631"/>
      <c r="AF899" s="627">
        <v>-1612.38</v>
      </c>
      <c r="AG899" s="627"/>
      <c r="AH899" s="627"/>
      <c r="AI899" s="627"/>
      <c r="AJ899" s="627"/>
      <c r="AK899" s="627"/>
      <c r="AL899" s="627"/>
    </row>
    <row r="900" spans="1:38" ht="11.1" customHeight="1" x14ac:dyDescent="0.25">
      <c r="A900" s="630" t="s">
        <v>4222</v>
      </c>
      <c r="B900" s="630"/>
      <c r="C900" s="630"/>
      <c r="M900" s="630" t="s">
        <v>632</v>
      </c>
      <c r="N900" s="630"/>
      <c r="O900" s="630"/>
      <c r="P900" s="630"/>
      <c r="Q900" s="627">
        <v>-1612.38</v>
      </c>
      <c r="R900" s="627"/>
      <c r="T900" s="631">
        <v>0</v>
      </c>
      <c r="U900" s="631"/>
      <c r="V900" s="631"/>
      <c r="Y900" s="631">
        <v>0</v>
      </c>
      <c r="Z900" s="631"/>
      <c r="AA900" s="631"/>
      <c r="AB900" s="631"/>
      <c r="AC900" s="631"/>
      <c r="AD900" s="631"/>
      <c r="AF900" s="627">
        <v>-1612.38</v>
      </c>
      <c r="AG900" s="627"/>
      <c r="AH900" s="627"/>
      <c r="AI900" s="627"/>
      <c r="AJ900" s="627"/>
      <c r="AK900" s="627"/>
      <c r="AL900" s="627"/>
    </row>
    <row r="901" spans="1:38" ht="11.1" customHeight="1" x14ac:dyDescent="0.25">
      <c r="A901" s="632" t="s">
        <v>4223</v>
      </c>
      <c r="B901" s="632"/>
      <c r="C901" s="632"/>
      <c r="I901" s="632" t="s">
        <v>793</v>
      </c>
      <c r="J901" s="632"/>
      <c r="K901" s="632"/>
      <c r="L901" s="632"/>
      <c r="M901" s="632"/>
      <c r="N901" s="632"/>
      <c r="O901" s="632"/>
      <c r="P901" s="632"/>
      <c r="Q901" s="633">
        <v>0</v>
      </c>
      <c r="R901" s="633"/>
      <c r="T901" s="634">
        <v>3669.5</v>
      </c>
      <c r="U901" s="634"/>
      <c r="V901" s="634"/>
      <c r="Y901" s="634">
        <v>3669.5</v>
      </c>
      <c r="Z901" s="634"/>
      <c r="AA901" s="634"/>
      <c r="AB901" s="634"/>
      <c r="AC901" s="634"/>
      <c r="AD901" s="634"/>
      <c r="AF901" s="633">
        <v>0</v>
      </c>
      <c r="AG901" s="633"/>
      <c r="AH901" s="633"/>
      <c r="AI901" s="633"/>
      <c r="AJ901" s="633"/>
      <c r="AK901" s="633"/>
      <c r="AL901" s="633"/>
    </row>
    <row r="902" spans="1:38" ht="11.1" customHeight="1" x14ac:dyDescent="0.25">
      <c r="A902" s="632" t="s">
        <v>4224</v>
      </c>
      <c r="B902" s="632"/>
      <c r="C902" s="632"/>
      <c r="J902" s="632" t="s">
        <v>795</v>
      </c>
      <c r="K902" s="632"/>
      <c r="L902" s="632"/>
      <c r="M902" s="632"/>
      <c r="N902" s="632"/>
      <c r="O902" s="632"/>
      <c r="P902" s="632"/>
      <c r="Q902" s="633">
        <v>457650.87</v>
      </c>
      <c r="R902" s="633"/>
      <c r="T902" s="634">
        <v>3669.5</v>
      </c>
      <c r="U902" s="634"/>
      <c r="V902" s="634"/>
      <c r="Y902" s="634">
        <v>0</v>
      </c>
      <c r="Z902" s="634"/>
      <c r="AA902" s="634"/>
      <c r="AB902" s="634"/>
      <c r="AC902" s="634"/>
      <c r="AD902" s="634"/>
      <c r="AF902" s="633">
        <v>461320.37</v>
      </c>
      <c r="AG902" s="633"/>
      <c r="AH902" s="633"/>
      <c r="AI902" s="633"/>
      <c r="AJ902" s="633"/>
      <c r="AK902" s="633"/>
      <c r="AL902" s="633"/>
    </row>
    <row r="903" spans="1:38" ht="11.1" customHeight="1" x14ac:dyDescent="0.25">
      <c r="A903" s="630" t="s">
        <v>4225</v>
      </c>
      <c r="B903" s="630"/>
      <c r="C903" s="630"/>
      <c r="K903" s="630" t="s">
        <v>616</v>
      </c>
      <c r="L903" s="630"/>
      <c r="M903" s="630"/>
      <c r="N903" s="630"/>
      <c r="O903" s="630"/>
      <c r="P903" s="630"/>
      <c r="Q903" s="627">
        <v>341828.63</v>
      </c>
      <c r="R903" s="627"/>
      <c r="T903" s="631">
        <v>1820</v>
      </c>
      <c r="U903" s="631"/>
      <c r="V903" s="631"/>
      <c r="Y903" s="631">
        <v>0</v>
      </c>
      <c r="Z903" s="631"/>
      <c r="AA903" s="631"/>
      <c r="AB903" s="631"/>
      <c r="AC903" s="631"/>
      <c r="AD903" s="631"/>
      <c r="AF903" s="627">
        <v>343648.63</v>
      </c>
      <c r="AG903" s="627"/>
      <c r="AH903" s="627"/>
      <c r="AI903" s="627"/>
      <c r="AJ903" s="627"/>
      <c r="AK903" s="627"/>
      <c r="AL903" s="627"/>
    </row>
    <row r="904" spans="1:38" ht="11.1" customHeight="1" x14ac:dyDescent="0.25">
      <c r="A904" s="630" t="s">
        <v>4226</v>
      </c>
      <c r="B904" s="630"/>
      <c r="C904" s="630"/>
      <c r="L904" s="630" t="s">
        <v>335</v>
      </c>
      <c r="M904" s="630"/>
      <c r="N904" s="630"/>
      <c r="O904" s="630"/>
      <c r="P904" s="630"/>
      <c r="Q904" s="627">
        <v>341828.63</v>
      </c>
      <c r="R904" s="627"/>
      <c r="T904" s="631">
        <v>1820</v>
      </c>
      <c r="U904" s="631"/>
      <c r="V904" s="631"/>
      <c r="Y904" s="631">
        <v>0</v>
      </c>
      <c r="Z904" s="631"/>
      <c r="AA904" s="631"/>
      <c r="AB904" s="631"/>
      <c r="AC904" s="631"/>
      <c r="AD904" s="631"/>
      <c r="AF904" s="627">
        <v>343648.63</v>
      </c>
      <c r="AG904" s="627"/>
      <c r="AH904" s="627"/>
      <c r="AI904" s="627"/>
      <c r="AJ904" s="627"/>
      <c r="AK904" s="627"/>
      <c r="AL904" s="627"/>
    </row>
    <row r="905" spans="1:38" ht="11.1" customHeight="1" x14ac:dyDescent="0.25">
      <c r="A905" s="630" t="s">
        <v>4227</v>
      </c>
      <c r="B905" s="630"/>
      <c r="C905" s="630"/>
      <c r="M905" s="630" t="s">
        <v>616</v>
      </c>
      <c r="N905" s="630"/>
      <c r="O905" s="630"/>
      <c r="P905" s="630"/>
      <c r="Q905" s="627">
        <v>341828.63</v>
      </c>
      <c r="R905" s="627"/>
      <c r="T905" s="631">
        <v>1820</v>
      </c>
      <c r="U905" s="631"/>
      <c r="V905" s="631"/>
      <c r="Y905" s="631">
        <v>0</v>
      </c>
      <c r="Z905" s="631"/>
      <c r="AA905" s="631"/>
      <c r="AB905" s="631"/>
      <c r="AC905" s="631"/>
      <c r="AD905" s="631"/>
      <c r="AF905" s="627">
        <v>343648.63</v>
      </c>
      <c r="AG905" s="627"/>
      <c r="AH905" s="627"/>
      <c r="AI905" s="627"/>
      <c r="AJ905" s="627"/>
      <c r="AK905" s="627"/>
      <c r="AL905" s="627"/>
    </row>
    <row r="906" spans="1:38" ht="11.1" customHeight="1" x14ac:dyDescent="0.25">
      <c r="A906" s="630" t="s">
        <v>4228</v>
      </c>
      <c r="B906" s="630"/>
      <c r="C906" s="630"/>
      <c r="K906" s="630" t="s">
        <v>626</v>
      </c>
      <c r="L906" s="630"/>
      <c r="M906" s="630"/>
      <c r="N906" s="630"/>
      <c r="O906" s="630"/>
      <c r="P906" s="630"/>
      <c r="Q906" s="627">
        <v>109513.56</v>
      </c>
      <c r="R906" s="627"/>
      <c r="T906" s="631">
        <v>0</v>
      </c>
      <c r="U906" s="631"/>
      <c r="V906" s="631"/>
      <c r="Y906" s="631">
        <v>0</v>
      </c>
      <c r="Z906" s="631"/>
      <c r="AA906" s="631"/>
      <c r="AB906" s="631"/>
      <c r="AC906" s="631"/>
      <c r="AD906" s="631"/>
      <c r="AF906" s="627">
        <v>109513.56</v>
      </c>
      <c r="AG906" s="627"/>
      <c r="AH906" s="627"/>
      <c r="AI906" s="627"/>
      <c r="AJ906" s="627"/>
      <c r="AK906" s="627"/>
      <c r="AL906" s="627"/>
    </row>
    <row r="907" spans="1:38" ht="11.1" customHeight="1" x14ac:dyDescent="0.25">
      <c r="A907" s="630" t="s">
        <v>4229</v>
      </c>
      <c r="B907" s="630"/>
      <c r="C907" s="630"/>
      <c r="L907" s="630" t="s">
        <v>335</v>
      </c>
      <c r="M907" s="630"/>
      <c r="N907" s="630"/>
      <c r="O907" s="630"/>
      <c r="P907" s="630"/>
      <c r="Q907" s="627">
        <v>109513.56</v>
      </c>
      <c r="R907" s="627"/>
      <c r="T907" s="631">
        <v>0</v>
      </c>
      <c r="U907" s="631"/>
      <c r="V907" s="631"/>
      <c r="Y907" s="631">
        <v>0</v>
      </c>
      <c r="Z907" s="631"/>
      <c r="AA907" s="631"/>
      <c r="AB907" s="631"/>
      <c r="AC907" s="631"/>
      <c r="AD907" s="631"/>
      <c r="AF907" s="627">
        <v>109513.56</v>
      </c>
      <c r="AG907" s="627"/>
      <c r="AH907" s="627"/>
      <c r="AI907" s="627"/>
      <c r="AJ907" s="627"/>
      <c r="AK907" s="627"/>
      <c r="AL907" s="627"/>
    </row>
    <row r="908" spans="1:38" ht="11.1" customHeight="1" x14ac:dyDescent="0.25">
      <c r="A908" s="630" t="s">
        <v>4230</v>
      </c>
      <c r="B908" s="630"/>
      <c r="C908" s="630"/>
      <c r="M908" s="630" t="s">
        <v>626</v>
      </c>
      <c r="N908" s="630"/>
      <c r="O908" s="630"/>
      <c r="P908" s="630"/>
      <c r="Q908" s="627">
        <v>109513.56</v>
      </c>
      <c r="R908" s="627"/>
      <c r="T908" s="631">
        <v>0</v>
      </c>
      <c r="U908" s="631"/>
      <c r="V908" s="631"/>
      <c r="Y908" s="631">
        <v>0</v>
      </c>
      <c r="Z908" s="631"/>
      <c r="AA908" s="631"/>
      <c r="AB908" s="631"/>
      <c r="AC908" s="631"/>
      <c r="AD908" s="631"/>
      <c r="AF908" s="627">
        <v>109513.56</v>
      </c>
      <c r="AG908" s="627"/>
      <c r="AH908" s="627"/>
      <c r="AI908" s="627"/>
      <c r="AJ908" s="627"/>
      <c r="AK908" s="627"/>
      <c r="AL908" s="627"/>
    </row>
    <row r="909" spans="1:38" ht="11.1" customHeight="1" x14ac:dyDescent="0.25">
      <c r="A909" s="630" t="s">
        <v>4231</v>
      </c>
      <c r="B909" s="630"/>
      <c r="C909" s="630"/>
      <c r="K909" s="630" t="s">
        <v>632</v>
      </c>
      <c r="L909" s="630"/>
      <c r="M909" s="630"/>
      <c r="N909" s="630"/>
      <c r="O909" s="630"/>
      <c r="P909" s="630"/>
      <c r="Q909" s="627">
        <v>6308.68</v>
      </c>
      <c r="R909" s="627"/>
      <c r="T909" s="631">
        <v>1849.5</v>
      </c>
      <c r="U909" s="631"/>
      <c r="V909" s="631"/>
      <c r="Y909" s="631">
        <v>0</v>
      </c>
      <c r="Z909" s="631"/>
      <c r="AA909" s="631"/>
      <c r="AB909" s="631"/>
      <c r="AC909" s="631"/>
      <c r="AD909" s="631"/>
      <c r="AF909" s="627">
        <v>8158.18</v>
      </c>
      <c r="AG909" s="627"/>
      <c r="AH909" s="627"/>
      <c r="AI909" s="627"/>
      <c r="AJ909" s="627"/>
      <c r="AK909" s="627"/>
      <c r="AL909" s="627"/>
    </row>
    <row r="910" spans="1:38" ht="11.1" customHeight="1" x14ac:dyDescent="0.25">
      <c r="A910" s="630" t="s">
        <v>4232</v>
      </c>
      <c r="B910" s="630"/>
      <c r="C910" s="630"/>
      <c r="L910" s="630" t="s">
        <v>335</v>
      </c>
      <c r="M910" s="630"/>
      <c r="N910" s="630"/>
      <c r="O910" s="630"/>
      <c r="P910" s="630"/>
      <c r="Q910" s="627">
        <v>6308.68</v>
      </c>
      <c r="R910" s="627"/>
      <c r="T910" s="631">
        <v>1849.5</v>
      </c>
      <c r="U910" s="631"/>
      <c r="V910" s="631"/>
      <c r="Y910" s="631">
        <v>0</v>
      </c>
      <c r="Z910" s="631"/>
      <c r="AA910" s="631"/>
      <c r="AB910" s="631"/>
      <c r="AC910" s="631"/>
      <c r="AD910" s="631"/>
      <c r="AF910" s="627">
        <v>8158.18</v>
      </c>
      <c r="AG910" s="627"/>
      <c r="AH910" s="627"/>
      <c r="AI910" s="627"/>
      <c r="AJ910" s="627"/>
      <c r="AK910" s="627"/>
      <c r="AL910" s="627"/>
    </row>
    <row r="911" spans="1:38" ht="11.1" customHeight="1" x14ac:dyDescent="0.25">
      <c r="A911" s="630" t="s">
        <v>4233</v>
      </c>
      <c r="B911" s="630"/>
      <c r="C911" s="630"/>
      <c r="M911" s="630" t="s">
        <v>632</v>
      </c>
      <c r="N911" s="630"/>
      <c r="O911" s="630"/>
      <c r="P911" s="630"/>
      <c r="Q911" s="627">
        <v>6308.68</v>
      </c>
      <c r="R911" s="627"/>
      <c r="T911" s="631">
        <v>1849.5</v>
      </c>
      <c r="U911" s="631"/>
      <c r="V911" s="631"/>
      <c r="Y911" s="631">
        <v>0</v>
      </c>
      <c r="Z911" s="631"/>
      <c r="AA911" s="631"/>
      <c r="AB911" s="631"/>
      <c r="AC911" s="631"/>
      <c r="AD911" s="631"/>
      <c r="AF911" s="627">
        <v>8158.18</v>
      </c>
      <c r="AG911" s="627"/>
      <c r="AH911" s="627"/>
      <c r="AI911" s="627"/>
      <c r="AJ911" s="627"/>
      <c r="AK911" s="627"/>
      <c r="AL911" s="627"/>
    </row>
    <row r="912" spans="1:38" ht="11.1" customHeight="1" x14ac:dyDescent="0.25">
      <c r="A912" s="632" t="s">
        <v>4234</v>
      </c>
      <c r="B912" s="632"/>
      <c r="C912" s="632"/>
      <c r="J912" s="632" t="s">
        <v>814</v>
      </c>
      <c r="K912" s="632"/>
      <c r="L912" s="632"/>
      <c r="M912" s="632"/>
      <c r="N912" s="632"/>
      <c r="O912" s="632"/>
      <c r="P912" s="632"/>
      <c r="Q912" s="633">
        <v>-457650.87</v>
      </c>
      <c r="R912" s="633"/>
      <c r="T912" s="634">
        <v>0</v>
      </c>
      <c r="U912" s="634"/>
      <c r="V912" s="634"/>
      <c r="Y912" s="634">
        <v>3669.5</v>
      </c>
      <c r="Z912" s="634"/>
      <c r="AA912" s="634"/>
      <c r="AB912" s="634"/>
      <c r="AC912" s="634"/>
      <c r="AD912" s="634"/>
      <c r="AF912" s="633">
        <v>-461320.37</v>
      </c>
      <c r="AG912" s="633"/>
      <c r="AH912" s="633"/>
      <c r="AI912" s="633"/>
      <c r="AJ912" s="633"/>
      <c r="AK912" s="633"/>
      <c r="AL912" s="633"/>
    </row>
    <row r="913" spans="1:38" ht="11.1" customHeight="1" x14ac:dyDescent="0.25">
      <c r="A913" s="630" t="s">
        <v>4235</v>
      </c>
      <c r="B913" s="630"/>
      <c r="C913" s="630"/>
      <c r="K913" s="630" t="s">
        <v>616</v>
      </c>
      <c r="L913" s="630"/>
      <c r="M913" s="630"/>
      <c r="N913" s="630"/>
      <c r="O913" s="630"/>
      <c r="P913" s="630"/>
      <c r="Q913" s="627">
        <v>-341828.63</v>
      </c>
      <c r="R913" s="627"/>
      <c r="T913" s="631">
        <v>0</v>
      </c>
      <c r="U913" s="631"/>
      <c r="V913" s="631"/>
      <c r="Y913" s="631">
        <v>1820</v>
      </c>
      <c r="Z913" s="631"/>
      <c r="AA913" s="631"/>
      <c r="AB913" s="631"/>
      <c r="AC913" s="631"/>
      <c r="AD913" s="631"/>
      <c r="AF913" s="627">
        <v>-343648.63</v>
      </c>
      <c r="AG913" s="627"/>
      <c r="AH913" s="627"/>
      <c r="AI913" s="627"/>
      <c r="AJ913" s="627"/>
      <c r="AK913" s="627"/>
      <c r="AL913" s="627"/>
    </row>
    <row r="914" spans="1:38" ht="11.1" customHeight="1" x14ac:dyDescent="0.25">
      <c r="A914" s="630" t="s">
        <v>4236</v>
      </c>
      <c r="B914" s="630"/>
      <c r="C914" s="630"/>
      <c r="L914" s="630" t="s">
        <v>335</v>
      </c>
      <c r="M914" s="630"/>
      <c r="N914" s="630"/>
      <c r="O914" s="630"/>
      <c r="P914" s="630"/>
      <c r="Q914" s="627">
        <v>-341828.63</v>
      </c>
      <c r="R914" s="627"/>
      <c r="T914" s="631">
        <v>0</v>
      </c>
      <c r="U914" s="631"/>
      <c r="V914" s="631"/>
      <c r="Y914" s="631">
        <v>1820</v>
      </c>
      <c r="Z914" s="631"/>
      <c r="AA914" s="631"/>
      <c r="AB914" s="631"/>
      <c r="AC914" s="631"/>
      <c r="AD914" s="631"/>
      <c r="AF914" s="627">
        <v>-343648.63</v>
      </c>
      <c r="AG914" s="627"/>
      <c r="AH914" s="627"/>
      <c r="AI914" s="627"/>
      <c r="AJ914" s="627"/>
      <c r="AK914" s="627"/>
      <c r="AL914" s="627"/>
    </row>
    <row r="915" spans="1:38" ht="11.1" customHeight="1" x14ac:dyDescent="0.25">
      <c r="A915" s="630" t="s">
        <v>4237</v>
      </c>
      <c r="B915" s="630"/>
      <c r="C915" s="630"/>
      <c r="M915" s="630" t="s">
        <v>616</v>
      </c>
      <c r="N915" s="630"/>
      <c r="O915" s="630"/>
      <c r="P915" s="630"/>
      <c r="Q915" s="627">
        <v>-341828.63</v>
      </c>
      <c r="R915" s="627"/>
      <c r="T915" s="631">
        <v>0</v>
      </c>
      <c r="U915" s="631"/>
      <c r="V915" s="631"/>
      <c r="Y915" s="631">
        <v>1820</v>
      </c>
      <c r="Z915" s="631"/>
      <c r="AA915" s="631"/>
      <c r="AB915" s="631"/>
      <c r="AC915" s="631"/>
      <c r="AD915" s="631"/>
      <c r="AF915" s="627">
        <v>-343648.63</v>
      </c>
      <c r="AG915" s="627"/>
      <c r="AH915" s="627"/>
      <c r="AI915" s="627"/>
      <c r="AJ915" s="627"/>
      <c r="AK915" s="627"/>
      <c r="AL915" s="627"/>
    </row>
    <row r="916" spans="1:38" ht="11.1" customHeight="1" x14ac:dyDescent="0.25">
      <c r="A916" s="630" t="s">
        <v>4238</v>
      </c>
      <c r="B916" s="630"/>
      <c r="C916" s="630"/>
      <c r="K916" s="630" t="s">
        <v>626</v>
      </c>
      <c r="L916" s="630"/>
      <c r="M916" s="630"/>
      <c r="N916" s="630"/>
      <c r="O916" s="630"/>
      <c r="P916" s="630"/>
      <c r="Q916" s="627">
        <v>-109513.56</v>
      </c>
      <c r="R916" s="627"/>
      <c r="T916" s="631">
        <v>0</v>
      </c>
      <c r="U916" s="631"/>
      <c r="V916" s="631"/>
      <c r="Y916" s="631">
        <v>0</v>
      </c>
      <c r="Z916" s="631"/>
      <c r="AA916" s="631"/>
      <c r="AB916" s="631"/>
      <c r="AC916" s="631"/>
      <c r="AD916" s="631"/>
      <c r="AF916" s="627">
        <v>-109513.56</v>
      </c>
      <c r="AG916" s="627"/>
      <c r="AH916" s="627"/>
      <c r="AI916" s="627"/>
      <c r="AJ916" s="627"/>
      <c r="AK916" s="627"/>
      <c r="AL916" s="627"/>
    </row>
    <row r="917" spans="1:38" ht="11.1" customHeight="1" x14ac:dyDescent="0.25">
      <c r="A917" s="630" t="s">
        <v>4239</v>
      </c>
      <c r="B917" s="630"/>
      <c r="C917" s="630"/>
      <c r="L917" s="630" t="s">
        <v>335</v>
      </c>
      <c r="M917" s="630"/>
      <c r="N917" s="630"/>
      <c r="O917" s="630"/>
      <c r="P917" s="630"/>
      <c r="Q917" s="627">
        <v>-109513.56</v>
      </c>
      <c r="R917" s="627"/>
      <c r="T917" s="631">
        <v>0</v>
      </c>
      <c r="U917" s="631"/>
      <c r="V917" s="631"/>
      <c r="Y917" s="631">
        <v>0</v>
      </c>
      <c r="Z917" s="631"/>
      <c r="AA917" s="631"/>
      <c r="AB917" s="631"/>
      <c r="AC917" s="631"/>
      <c r="AD917" s="631"/>
      <c r="AF917" s="627">
        <v>-109513.56</v>
      </c>
      <c r="AG917" s="627"/>
      <c r="AH917" s="627"/>
      <c r="AI917" s="627"/>
      <c r="AJ917" s="627"/>
      <c r="AK917" s="627"/>
      <c r="AL917" s="627"/>
    </row>
    <row r="918" spans="1:38" ht="11.1" customHeight="1" x14ac:dyDescent="0.25">
      <c r="A918" s="630" t="s">
        <v>4240</v>
      </c>
      <c r="B918" s="630"/>
      <c r="C918" s="630"/>
      <c r="M918" s="630" t="s">
        <v>626</v>
      </c>
      <c r="N918" s="630"/>
      <c r="O918" s="630"/>
      <c r="P918" s="630"/>
      <c r="Q918" s="627">
        <v>-109513.56</v>
      </c>
      <c r="R918" s="627"/>
      <c r="T918" s="631">
        <v>0</v>
      </c>
      <c r="U918" s="631"/>
      <c r="V918" s="631"/>
      <c r="Y918" s="631">
        <v>0</v>
      </c>
      <c r="Z918" s="631"/>
      <c r="AA918" s="631"/>
      <c r="AB918" s="631"/>
      <c r="AC918" s="631"/>
      <c r="AD918" s="631"/>
      <c r="AF918" s="627">
        <v>-109513.56</v>
      </c>
      <c r="AG918" s="627"/>
      <c r="AH918" s="627"/>
      <c r="AI918" s="627"/>
      <c r="AJ918" s="627"/>
      <c r="AK918" s="627"/>
      <c r="AL918" s="627"/>
    </row>
    <row r="919" spans="1:38" ht="11.1" customHeight="1" x14ac:dyDescent="0.25">
      <c r="A919" s="630" t="s">
        <v>4241</v>
      </c>
      <c r="B919" s="630"/>
      <c r="C919" s="630"/>
      <c r="K919" s="630" t="s">
        <v>632</v>
      </c>
      <c r="L919" s="630"/>
      <c r="M919" s="630"/>
      <c r="N919" s="630"/>
      <c r="O919" s="630"/>
      <c r="P919" s="630"/>
      <c r="Q919" s="627">
        <v>-6308.68</v>
      </c>
      <c r="R919" s="627"/>
      <c r="T919" s="631">
        <v>0</v>
      </c>
      <c r="U919" s="631"/>
      <c r="V919" s="631"/>
      <c r="Y919" s="631">
        <v>1849.5</v>
      </c>
      <c r="Z919" s="631"/>
      <c r="AA919" s="631"/>
      <c r="AB919" s="631"/>
      <c r="AC919" s="631"/>
      <c r="AD919" s="631"/>
      <c r="AF919" s="627">
        <v>-8158.18</v>
      </c>
      <c r="AG919" s="627"/>
      <c r="AH919" s="627"/>
      <c r="AI919" s="627"/>
      <c r="AJ919" s="627"/>
      <c r="AK919" s="627"/>
      <c r="AL919" s="627"/>
    </row>
    <row r="920" spans="1:38" ht="11.1" customHeight="1" x14ac:dyDescent="0.25">
      <c r="A920" s="630" t="s">
        <v>4242</v>
      </c>
      <c r="B920" s="630"/>
      <c r="C920" s="630"/>
      <c r="L920" s="630" t="s">
        <v>335</v>
      </c>
      <c r="M920" s="630"/>
      <c r="N920" s="630"/>
      <c r="O920" s="630"/>
      <c r="P920" s="630"/>
      <c r="Q920" s="627">
        <v>-6308.68</v>
      </c>
      <c r="R920" s="627"/>
      <c r="T920" s="631">
        <v>0</v>
      </c>
      <c r="U920" s="631"/>
      <c r="V920" s="631"/>
      <c r="Y920" s="631">
        <v>1849.5</v>
      </c>
      <c r="Z920" s="631"/>
      <c r="AA920" s="631"/>
      <c r="AB920" s="631"/>
      <c r="AC920" s="631"/>
      <c r="AD920" s="631"/>
      <c r="AF920" s="627">
        <v>-8158.18</v>
      </c>
      <c r="AG920" s="627"/>
      <c r="AH920" s="627"/>
      <c r="AI920" s="627"/>
      <c r="AJ920" s="627"/>
      <c r="AK920" s="627"/>
      <c r="AL920" s="627"/>
    </row>
    <row r="921" spans="1:38" ht="11.1" customHeight="1" x14ac:dyDescent="0.25">
      <c r="A921" s="630" t="s">
        <v>4243</v>
      </c>
      <c r="B921" s="630"/>
      <c r="C921" s="630"/>
      <c r="M921" s="630" t="s">
        <v>632</v>
      </c>
      <c r="N921" s="630"/>
      <c r="O921" s="630"/>
      <c r="P921" s="630"/>
      <c r="Q921" s="627">
        <v>-6308.68</v>
      </c>
      <c r="R921" s="627"/>
      <c r="T921" s="631">
        <v>0</v>
      </c>
      <c r="U921" s="631"/>
      <c r="V921" s="631"/>
      <c r="Y921" s="631">
        <v>1849.5</v>
      </c>
      <c r="Z921" s="631"/>
      <c r="AA921" s="631"/>
      <c r="AB921" s="631"/>
      <c r="AC921" s="631"/>
      <c r="AD921" s="631"/>
      <c r="AF921" s="627">
        <v>-8158.18</v>
      </c>
      <c r="AG921" s="627"/>
      <c r="AH921" s="627"/>
      <c r="AI921" s="627"/>
      <c r="AJ921" s="627"/>
      <c r="AK921" s="627"/>
      <c r="AL921" s="627"/>
    </row>
    <row r="922" spans="1:38" ht="11.1" customHeight="1" x14ac:dyDescent="0.25">
      <c r="A922" s="632" t="s">
        <v>4244</v>
      </c>
      <c r="B922" s="632"/>
      <c r="C922" s="632"/>
      <c r="H922" s="632" t="s">
        <v>1364</v>
      </c>
      <c r="I922" s="632"/>
      <c r="J922" s="632"/>
      <c r="K922" s="632"/>
      <c r="L922" s="632"/>
      <c r="M922" s="632"/>
      <c r="N922" s="632"/>
      <c r="O922" s="632"/>
      <c r="P922" s="632"/>
      <c r="Q922" s="633">
        <v>0</v>
      </c>
      <c r="R922" s="633"/>
      <c r="T922" s="634">
        <v>0</v>
      </c>
      <c r="U922" s="634"/>
      <c r="V922" s="634"/>
      <c r="Y922" s="634">
        <v>0</v>
      </c>
      <c r="Z922" s="634"/>
      <c r="AA922" s="634"/>
      <c r="AB922" s="634"/>
      <c r="AC922" s="634"/>
      <c r="AD922" s="634"/>
      <c r="AF922" s="633">
        <v>0</v>
      </c>
      <c r="AG922" s="633"/>
      <c r="AH922" s="633"/>
      <c r="AI922" s="633"/>
      <c r="AJ922" s="633"/>
      <c r="AK922" s="633"/>
      <c r="AL922" s="633"/>
    </row>
    <row r="923" spans="1:38" ht="11.1" customHeight="1" x14ac:dyDescent="0.25">
      <c r="A923" s="632" t="s">
        <v>4245</v>
      </c>
      <c r="B923" s="632"/>
      <c r="C923" s="632"/>
      <c r="I923" s="632" t="s">
        <v>581</v>
      </c>
      <c r="J923" s="632"/>
      <c r="K923" s="632"/>
      <c r="L923" s="632"/>
      <c r="M923" s="632"/>
      <c r="N923" s="632"/>
      <c r="O923" s="632"/>
      <c r="P923" s="632"/>
      <c r="Q923" s="633">
        <v>0</v>
      </c>
      <c r="R923" s="633"/>
      <c r="T923" s="634">
        <v>0</v>
      </c>
      <c r="U923" s="634"/>
      <c r="V923" s="634"/>
      <c r="Y923" s="634">
        <v>0</v>
      </c>
      <c r="Z923" s="634"/>
      <c r="AA923" s="634"/>
      <c r="AB923" s="634"/>
      <c r="AC923" s="634"/>
      <c r="AD923" s="634"/>
      <c r="AF923" s="633">
        <v>0</v>
      </c>
      <c r="AG923" s="633"/>
      <c r="AH923" s="633"/>
      <c r="AI923" s="633"/>
      <c r="AJ923" s="633"/>
      <c r="AK923" s="633"/>
      <c r="AL923" s="633"/>
    </row>
    <row r="924" spans="1:38" ht="11.1" customHeight="1" x14ac:dyDescent="0.25">
      <c r="A924" s="632" t="s">
        <v>4246</v>
      </c>
      <c r="B924" s="632"/>
      <c r="C924" s="632"/>
      <c r="J924" s="632" t="s">
        <v>845</v>
      </c>
      <c r="K924" s="632"/>
      <c r="L924" s="632"/>
      <c r="M924" s="632"/>
      <c r="N924" s="632"/>
      <c r="O924" s="632"/>
      <c r="P924" s="632"/>
      <c r="Q924" s="633">
        <v>228705.84</v>
      </c>
      <c r="R924" s="633"/>
      <c r="T924" s="634">
        <v>0</v>
      </c>
      <c r="U924" s="634"/>
      <c r="V924" s="634"/>
      <c r="Y924" s="634">
        <v>0</v>
      </c>
      <c r="Z924" s="634"/>
      <c r="AA924" s="634"/>
      <c r="AB924" s="634"/>
      <c r="AC924" s="634"/>
      <c r="AD924" s="634"/>
      <c r="AF924" s="633">
        <v>228705.84</v>
      </c>
      <c r="AG924" s="633"/>
      <c r="AH924" s="633"/>
      <c r="AI924" s="633"/>
      <c r="AJ924" s="633"/>
      <c r="AK924" s="633"/>
      <c r="AL924" s="633"/>
    </row>
    <row r="925" spans="1:38" ht="11.1" customHeight="1" x14ac:dyDescent="0.25">
      <c r="A925" s="630" t="s">
        <v>4247</v>
      </c>
      <c r="B925" s="630"/>
      <c r="C925" s="630"/>
      <c r="K925" s="630" t="s">
        <v>852</v>
      </c>
      <c r="L925" s="630"/>
      <c r="M925" s="630"/>
      <c r="N925" s="630"/>
      <c r="O925" s="630"/>
      <c r="P925" s="630"/>
      <c r="Q925" s="627">
        <v>228705.84</v>
      </c>
      <c r="R925" s="627"/>
      <c r="T925" s="631">
        <v>0</v>
      </c>
      <c r="U925" s="631"/>
      <c r="V925" s="631"/>
      <c r="Y925" s="631">
        <v>0</v>
      </c>
      <c r="Z925" s="631"/>
      <c r="AA925" s="631"/>
      <c r="AB925" s="631"/>
      <c r="AC925" s="631"/>
      <c r="AD925" s="631"/>
      <c r="AF925" s="627">
        <v>228705.84</v>
      </c>
      <c r="AG925" s="627"/>
      <c r="AH925" s="627"/>
      <c r="AI925" s="627"/>
      <c r="AJ925" s="627"/>
      <c r="AK925" s="627"/>
      <c r="AL925" s="627"/>
    </row>
    <row r="926" spans="1:38" ht="11.1" customHeight="1" x14ac:dyDescent="0.25">
      <c r="A926" s="630" t="s">
        <v>4248</v>
      </c>
      <c r="B926" s="630"/>
      <c r="C926" s="630"/>
      <c r="L926" s="630" t="s">
        <v>591</v>
      </c>
      <c r="M926" s="630"/>
      <c r="N926" s="630"/>
      <c r="O926" s="630"/>
      <c r="P926" s="630"/>
      <c r="Q926" s="627">
        <v>228705.84</v>
      </c>
      <c r="R926" s="627"/>
      <c r="T926" s="631">
        <v>0</v>
      </c>
      <c r="U926" s="631"/>
      <c r="V926" s="631"/>
      <c r="Y926" s="631">
        <v>0</v>
      </c>
      <c r="Z926" s="631"/>
      <c r="AA926" s="631"/>
      <c r="AB926" s="631"/>
      <c r="AC926" s="631"/>
      <c r="AD926" s="631"/>
      <c r="AF926" s="627">
        <v>228705.84</v>
      </c>
      <c r="AG926" s="627"/>
      <c r="AH926" s="627"/>
      <c r="AI926" s="627"/>
      <c r="AJ926" s="627"/>
      <c r="AK926" s="627"/>
      <c r="AL926" s="627"/>
    </row>
    <row r="927" spans="1:38" ht="11.1" customHeight="1" x14ac:dyDescent="0.25">
      <c r="A927" s="630" t="s">
        <v>4249</v>
      </c>
      <c r="B927" s="630"/>
      <c r="C927" s="630"/>
      <c r="M927" s="630" t="s">
        <v>855</v>
      </c>
      <c r="N927" s="630"/>
      <c r="O927" s="630"/>
      <c r="P927" s="630"/>
      <c r="Q927" s="627">
        <v>228705.84</v>
      </c>
      <c r="R927" s="627"/>
      <c r="T927" s="631">
        <v>0</v>
      </c>
      <c r="U927" s="631"/>
      <c r="V927" s="631"/>
      <c r="Y927" s="631">
        <v>0</v>
      </c>
      <c r="Z927" s="631"/>
      <c r="AA927" s="631"/>
      <c r="AB927" s="631"/>
      <c r="AC927" s="631"/>
      <c r="AD927" s="631"/>
      <c r="AF927" s="627">
        <v>228705.84</v>
      </c>
      <c r="AG927" s="627"/>
      <c r="AH927" s="627"/>
      <c r="AI927" s="627"/>
      <c r="AJ927" s="627"/>
      <c r="AK927" s="627"/>
      <c r="AL927" s="627"/>
    </row>
    <row r="928" spans="1:38" ht="11.1" customHeight="1" x14ac:dyDescent="0.25">
      <c r="A928" s="632" t="s">
        <v>4250</v>
      </c>
      <c r="B928" s="632"/>
      <c r="C928" s="632"/>
      <c r="J928" s="632" t="s">
        <v>862</v>
      </c>
      <c r="K928" s="632"/>
      <c r="L928" s="632"/>
      <c r="M928" s="632"/>
      <c r="N928" s="632"/>
      <c r="O928" s="632"/>
      <c r="P928" s="632"/>
      <c r="Q928" s="633">
        <v>-228705.84</v>
      </c>
      <c r="R928" s="633"/>
      <c r="T928" s="634">
        <v>0</v>
      </c>
      <c r="U928" s="634"/>
      <c r="V928" s="634"/>
      <c r="Y928" s="634">
        <v>0</v>
      </c>
      <c r="Z928" s="634"/>
      <c r="AA928" s="634"/>
      <c r="AB928" s="634"/>
      <c r="AC928" s="634"/>
      <c r="AD928" s="634"/>
      <c r="AF928" s="633">
        <v>-228705.84</v>
      </c>
      <c r="AG928" s="633"/>
      <c r="AH928" s="633"/>
      <c r="AI928" s="633"/>
      <c r="AJ928" s="633"/>
      <c r="AK928" s="633"/>
      <c r="AL928" s="633"/>
    </row>
    <row r="929" spans="1:38" ht="11.1" customHeight="1" x14ac:dyDescent="0.25">
      <c r="A929" s="630" t="s">
        <v>4251</v>
      </c>
      <c r="B929" s="630"/>
      <c r="C929" s="630"/>
      <c r="K929" s="630" t="s">
        <v>852</v>
      </c>
      <c r="L929" s="630"/>
      <c r="M929" s="630"/>
      <c r="N929" s="630"/>
      <c r="O929" s="630"/>
      <c r="P929" s="630"/>
      <c r="Q929" s="627">
        <v>-228705.84</v>
      </c>
      <c r="R929" s="627"/>
      <c r="T929" s="631">
        <v>0</v>
      </c>
      <c r="U929" s="631"/>
      <c r="V929" s="631"/>
      <c r="Y929" s="631">
        <v>0</v>
      </c>
      <c r="Z929" s="631"/>
      <c r="AA929" s="631"/>
      <c r="AB929" s="631"/>
      <c r="AC929" s="631"/>
      <c r="AD929" s="631"/>
      <c r="AF929" s="627">
        <v>-228705.84</v>
      </c>
      <c r="AG929" s="627"/>
      <c r="AH929" s="627"/>
      <c r="AI929" s="627"/>
      <c r="AJ929" s="627"/>
      <c r="AK929" s="627"/>
      <c r="AL929" s="627"/>
    </row>
    <row r="930" spans="1:38" ht="11.1" customHeight="1" x14ac:dyDescent="0.25">
      <c r="A930" s="630" t="s">
        <v>4252</v>
      </c>
      <c r="B930" s="630"/>
      <c r="C930" s="630"/>
      <c r="L930" s="630" t="s">
        <v>706</v>
      </c>
      <c r="M930" s="630"/>
      <c r="N930" s="630"/>
      <c r="O930" s="630"/>
      <c r="P930" s="630"/>
      <c r="Q930" s="627">
        <v>-228705.84</v>
      </c>
      <c r="R930" s="627"/>
      <c r="T930" s="631">
        <v>0</v>
      </c>
      <c r="U930" s="631"/>
      <c r="V930" s="631"/>
      <c r="Y930" s="631">
        <v>0</v>
      </c>
      <c r="Z930" s="631"/>
      <c r="AA930" s="631"/>
      <c r="AB930" s="631"/>
      <c r="AC930" s="631"/>
      <c r="AD930" s="631"/>
      <c r="AF930" s="627">
        <v>-228705.84</v>
      </c>
      <c r="AG930" s="627"/>
      <c r="AH930" s="627"/>
      <c r="AI930" s="627"/>
      <c r="AJ930" s="627"/>
      <c r="AK930" s="627"/>
      <c r="AL930" s="627"/>
    </row>
    <row r="931" spans="1:38" ht="11.1" customHeight="1" x14ac:dyDescent="0.25">
      <c r="A931" s="630" t="s">
        <v>4253</v>
      </c>
      <c r="B931" s="630"/>
      <c r="C931" s="630"/>
      <c r="M931" s="630" t="s">
        <v>852</v>
      </c>
      <c r="N931" s="630"/>
      <c r="O931" s="630"/>
      <c r="P931" s="630"/>
      <c r="Q931" s="627">
        <v>-228705.84</v>
      </c>
      <c r="R931" s="627"/>
      <c r="T931" s="631">
        <v>0</v>
      </c>
      <c r="U931" s="631"/>
      <c r="V931" s="631"/>
      <c r="Y931" s="631">
        <v>0</v>
      </c>
      <c r="Z931" s="631"/>
      <c r="AA931" s="631"/>
      <c r="AB931" s="631"/>
      <c r="AC931" s="631"/>
      <c r="AD931" s="631"/>
      <c r="AF931" s="627">
        <v>-228705.84</v>
      </c>
      <c r="AG931" s="627"/>
      <c r="AH931" s="627"/>
      <c r="AI931" s="627"/>
      <c r="AJ931" s="627"/>
      <c r="AK931" s="627"/>
      <c r="AL931" s="627"/>
    </row>
    <row r="932" spans="1:38" ht="11.1" customHeight="1" x14ac:dyDescent="0.25">
      <c r="A932" s="632" t="s">
        <v>4254</v>
      </c>
      <c r="B932" s="632"/>
      <c r="C932" s="632"/>
      <c r="I932" s="632" t="s">
        <v>793</v>
      </c>
      <c r="J932" s="632"/>
      <c r="K932" s="632"/>
      <c r="L932" s="632"/>
      <c r="M932" s="632"/>
      <c r="N932" s="632"/>
      <c r="O932" s="632"/>
      <c r="P932" s="632"/>
      <c r="Q932" s="633">
        <v>0</v>
      </c>
      <c r="R932" s="633"/>
      <c r="T932" s="634">
        <v>0</v>
      </c>
      <c r="U932" s="634"/>
      <c r="V932" s="634"/>
      <c r="Y932" s="634">
        <v>0</v>
      </c>
      <c r="Z932" s="634"/>
      <c r="AA932" s="634"/>
      <c r="AB932" s="634"/>
      <c r="AC932" s="634"/>
      <c r="AD932" s="634"/>
      <c r="AF932" s="633">
        <v>0</v>
      </c>
      <c r="AG932" s="633"/>
      <c r="AH932" s="633"/>
      <c r="AI932" s="633"/>
      <c r="AJ932" s="633"/>
      <c r="AK932" s="633"/>
      <c r="AL932" s="633"/>
    </row>
    <row r="933" spans="1:38" ht="11.1" customHeight="1" x14ac:dyDescent="0.25">
      <c r="A933" s="632" t="s">
        <v>4255</v>
      </c>
      <c r="B933" s="632"/>
      <c r="C933" s="632"/>
      <c r="J933" s="632" t="s">
        <v>887</v>
      </c>
      <c r="K933" s="632"/>
      <c r="L933" s="632"/>
      <c r="M933" s="632"/>
      <c r="N933" s="632"/>
      <c r="O933" s="632"/>
      <c r="P933" s="632"/>
      <c r="Q933" s="633">
        <v>220382.57</v>
      </c>
      <c r="R933" s="633"/>
      <c r="T933" s="634">
        <v>0</v>
      </c>
      <c r="U933" s="634"/>
      <c r="V933" s="634"/>
      <c r="Y933" s="634">
        <v>0</v>
      </c>
      <c r="Z933" s="634"/>
      <c r="AA933" s="634"/>
      <c r="AB933" s="634"/>
      <c r="AC933" s="634"/>
      <c r="AD933" s="634"/>
      <c r="AF933" s="633">
        <v>220382.57</v>
      </c>
      <c r="AG933" s="633"/>
      <c r="AH933" s="633"/>
      <c r="AI933" s="633"/>
      <c r="AJ933" s="633"/>
      <c r="AK933" s="633"/>
      <c r="AL933" s="633"/>
    </row>
    <row r="934" spans="1:38" ht="11.1" customHeight="1" x14ac:dyDescent="0.25">
      <c r="A934" s="630" t="s">
        <v>4256</v>
      </c>
      <c r="B934" s="630"/>
      <c r="C934" s="630"/>
      <c r="K934" s="630" t="s">
        <v>852</v>
      </c>
      <c r="L934" s="630"/>
      <c r="M934" s="630"/>
      <c r="N934" s="630"/>
      <c r="O934" s="630"/>
      <c r="P934" s="630"/>
      <c r="Q934" s="627">
        <v>220382.57</v>
      </c>
      <c r="R934" s="627"/>
      <c r="T934" s="631">
        <v>0</v>
      </c>
      <c r="U934" s="631"/>
      <c r="V934" s="631"/>
      <c r="Y934" s="631">
        <v>0</v>
      </c>
      <c r="Z934" s="631"/>
      <c r="AA934" s="631"/>
      <c r="AB934" s="631"/>
      <c r="AC934" s="631"/>
      <c r="AD934" s="631"/>
      <c r="AF934" s="627">
        <v>220382.57</v>
      </c>
      <c r="AG934" s="627"/>
      <c r="AH934" s="627"/>
      <c r="AI934" s="627"/>
      <c r="AJ934" s="627"/>
      <c r="AK934" s="627"/>
      <c r="AL934" s="627"/>
    </row>
    <row r="935" spans="1:38" ht="11.1" customHeight="1" x14ac:dyDescent="0.25">
      <c r="A935" s="630" t="s">
        <v>4257</v>
      </c>
      <c r="B935" s="630"/>
      <c r="C935" s="630"/>
      <c r="L935" s="630" t="s">
        <v>335</v>
      </c>
      <c r="M935" s="630"/>
      <c r="N935" s="630"/>
      <c r="O935" s="630"/>
      <c r="P935" s="630"/>
      <c r="Q935" s="627">
        <v>220382.57</v>
      </c>
      <c r="R935" s="627"/>
      <c r="T935" s="631">
        <v>0</v>
      </c>
      <c r="U935" s="631"/>
      <c r="V935" s="631"/>
      <c r="Y935" s="631">
        <v>0</v>
      </c>
      <c r="Z935" s="631"/>
      <c r="AA935" s="631"/>
      <c r="AB935" s="631"/>
      <c r="AC935" s="631"/>
      <c r="AD935" s="631"/>
      <c r="AF935" s="627">
        <v>220382.57</v>
      </c>
      <c r="AG935" s="627"/>
      <c r="AH935" s="627"/>
      <c r="AI935" s="627"/>
      <c r="AJ935" s="627"/>
      <c r="AK935" s="627"/>
      <c r="AL935" s="627"/>
    </row>
    <row r="936" spans="1:38" ht="11.1" customHeight="1" x14ac:dyDescent="0.25">
      <c r="A936" s="630" t="s">
        <v>4258</v>
      </c>
      <c r="B936" s="630"/>
      <c r="C936" s="630"/>
      <c r="M936" s="630" t="s">
        <v>852</v>
      </c>
      <c r="N936" s="630"/>
      <c r="O936" s="630"/>
      <c r="P936" s="630"/>
      <c r="Q936" s="627">
        <v>220382.57</v>
      </c>
      <c r="R936" s="627"/>
      <c r="T936" s="631">
        <v>0</v>
      </c>
      <c r="U936" s="631"/>
      <c r="V936" s="631"/>
      <c r="Y936" s="631">
        <v>0</v>
      </c>
      <c r="Z936" s="631"/>
      <c r="AA936" s="631"/>
      <c r="AB936" s="631"/>
      <c r="AC936" s="631"/>
      <c r="AD936" s="631"/>
      <c r="AF936" s="627">
        <v>220382.57</v>
      </c>
      <c r="AG936" s="627"/>
      <c r="AH936" s="627"/>
      <c r="AI936" s="627"/>
      <c r="AJ936" s="627"/>
      <c r="AK936" s="627"/>
      <c r="AL936" s="627"/>
    </row>
    <row r="937" spans="1:38" ht="11.1" customHeight="1" x14ac:dyDescent="0.25">
      <c r="A937" s="632" t="s">
        <v>4259</v>
      </c>
      <c r="B937" s="632"/>
      <c r="C937" s="632"/>
      <c r="J937" s="632" t="s">
        <v>892</v>
      </c>
      <c r="K937" s="632"/>
      <c r="L937" s="632"/>
      <c r="M937" s="632"/>
      <c r="N937" s="632"/>
      <c r="O937" s="632"/>
      <c r="P937" s="632"/>
      <c r="Q937" s="633">
        <v>-220382.57</v>
      </c>
      <c r="R937" s="633"/>
      <c r="T937" s="634">
        <v>0</v>
      </c>
      <c r="U937" s="634"/>
      <c r="V937" s="634"/>
      <c r="Y937" s="634">
        <v>0</v>
      </c>
      <c r="Z937" s="634"/>
      <c r="AA937" s="634"/>
      <c r="AB937" s="634"/>
      <c r="AC937" s="634"/>
      <c r="AD937" s="634"/>
      <c r="AF937" s="633">
        <v>-220382.57</v>
      </c>
      <c r="AG937" s="633"/>
      <c r="AH937" s="633"/>
      <c r="AI937" s="633"/>
      <c r="AJ937" s="633"/>
      <c r="AK937" s="633"/>
      <c r="AL937" s="633"/>
    </row>
    <row r="938" spans="1:38" ht="11.1" customHeight="1" x14ac:dyDescent="0.25">
      <c r="A938" s="630" t="s">
        <v>4260</v>
      </c>
      <c r="B938" s="630"/>
      <c r="C938" s="630"/>
      <c r="K938" s="630" t="s">
        <v>852</v>
      </c>
      <c r="L938" s="630"/>
      <c r="M938" s="630"/>
      <c r="N938" s="630"/>
      <c r="O938" s="630"/>
      <c r="P938" s="630"/>
      <c r="Q938" s="627">
        <v>-220382.57</v>
      </c>
      <c r="R938" s="627"/>
      <c r="T938" s="631">
        <v>0</v>
      </c>
      <c r="U938" s="631"/>
      <c r="V938" s="631"/>
      <c r="Y938" s="631">
        <v>0</v>
      </c>
      <c r="Z938" s="631"/>
      <c r="AA938" s="631"/>
      <c r="AB938" s="631"/>
      <c r="AC938" s="631"/>
      <c r="AD938" s="631"/>
      <c r="AF938" s="627">
        <v>-220382.57</v>
      </c>
      <c r="AG938" s="627"/>
      <c r="AH938" s="627"/>
      <c r="AI938" s="627"/>
      <c r="AJ938" s="627"/>
      <c r="AK938" s="627"/>
      <c r="AL938" s="627"/>
    </row>
    <row r="939" spans="1:38" ht="11.1" customHeight="1" x14ac:dyDescent="0.25">
      <c r="A939" s="630" t="s">
        <v>4261</v>
      </c>
      <c r="B939" s="630"/>
      <c r="C939" s="630"/>
      <c r="L939" s="630" t="s">
        <v>335</v>
      </c>
      <c r="M939" s="630"/>
      <c r="N939" s="630"/>
      <c r="O939" s="630"/>
      <c r="P939" s="630"/>
      <c r="Q939" s="627">
        <v>-220382.57</v>
      </c>
      <c r="R939" s="627"/>
      <c r="T939" s="631">
        <v>0</v>
      </c>
      <c r="U939" s="631"/>
      <c r="V939" s="631"/>
      <c r="Y939" s="631">
        <v>0</v>
      </c>
      <c r="Z939" s="631"/>
      <c r="AA939" s="631"/>
      <c r="AB939" s="631"/>
      <c r="AC939" s="631"/>
      <c r="AD939" s="631"/>
      <c r="AF939" s="627">
        <v>-220382.57</v>
      </c>
      <c r="AG939" s="627"/>
      <c r="AH939" s="627"/>
      <c r="AI939" s="627"/>
      <c r="AJ939" s="627"/>
      <c r="AK939" s="627"/>
      <c r="AL939" s="627"/>
    </row>
    <row r="940" spans="1:38" ht="11.1" customHeight="1" x14ac:dyDescent="0.25">
      <c r="A940" s="630" t="s">
        <v>4262</v>
      </c>
      <c r="B940" s="630"/>
      <c r="C940" s="630"/>
      <c r="M940" s="630" t="s">
        <v>852</v>
      </c>
      <c r="N940" s="630"/>
      <c r="O940" s="630"/>
      <c r="P940" s="630"/>
      <c r="Q940" s="627">
        <v>-220382.57</v>
      </c>
      <c r="R940" s="627"/>
      <c r="T940" s="631">
        <v>0</v>
      </c>
      <c r="U940" s="631"/>
      <c r="V940" s="631"/>
      <c r="Y940" s="631">
        <v>0</v>
      </c>
      <c r="Z940" s="631"/>
      <c r="AA940" s="631"/>
      <c r="AB940" s="631"/>
      <c r="AC940" s="631"/>
      <c r="AD940" s="631"/>
      <c r="AF940" s="627">
        <v>-220382.57</v>
      </c>
      <c r="AG940" s="627"/>
      <c r="AH940" s="627"/>
      <c r="AI940" s="627"/>
      <c r="AJ940" s="627"/>
      <c r="AK940" s="627"/>
      <c r="AL940" s="627"/>
    </row>
    <row r="941" spans="1:38" ht="11.1" customHeight="1" x14ac:dyDescent="0.25">
      <c r="A941" s="632" t="s">
        <v>4263</v>
      </c>
      <c r="B941" s="632"/>
      <c r="C941" s="632"/>
      <c r="H941" s="632" t="s">
        <v>1384</v>
      </c>
      <c r="I941" s="632"/>
      <c r="J941" s="632"/>
      <c r="K941" s="632"/>
      <c r="L941" s="632"/>
      <c r="M941" s="632"/>
      <c r="N941" s="632"/>
      <c r="O941" s="632"/>
      <c r="P941" s="632"/>
      <c r="Q941" s="633">
        <v>0</v>
      </c>
      <c r="R941" s="633"/>
      <c r="T941" s="634">
        <v>3669.5</v>
      </c>
      <c r="U941" s="634"/>
      <c r="V941" s="634"/>
      <c r="Y941" s="634">
        <v>3669.5</v>
      </c>
      <c r="Z941" s="634"/>
      <c r="AA941" s="634"/>
      <c r="AB941" s="634"/>
      <c r="AC941" s="634"/>
      <c r="AD941" s="634"/>
      <c r="AF941" s="633">
        <v>0</v>
      </c>
      <c r="AG941" s="633"/>
      <c r="AH941" s="633"/>
      <c r="AI941" s="633"/>
      <c r="AJ941" s="633"/>
      <c r="AK941" s="633"/>
      <c r="AL941" s="633"/>
    </row>
    <row r="942" spans="1:38" ht="11.1" customHeight="1" x14ac:dyDescent="0.25">
      <c r="A942" s="632" t="s">
        <v>4264</v>
      </c>
      <c r="B942" s="632"/>
      <c r="C942" s="632"/>
      <c r="H942" s="632" t="s">
        <v>1298</v>
      </c>
      <c r="I942" s="632"/>
      <c r="J942" s="632"/>
      <c r="K942" s="632"/>
      <c r="L942" s="632"/>
      <c r="M942" s="632"/>
      <c r="N942" s="632"/>
      <c r="O942" s="632"/>
      <c r="P942" s="632"/>
      <c r="Q942" s="633">
        <v>0</v>
      </c>
      <c r="R942" s="633"/>
      <c r="T942" s="634">
        <v>3669.5</v>
      </c>
      <c r="U942" s="634"/>
      <c r="V942" s="634"/>
      <c r="Y942" s="634">
        <v>3669.5</v>
      </c>
      <c r="Z942" s="634"/>
      <c r="AA942" s="634"/>
      <c r="AB942" s="634"/>
      <c r="AC942" s="634"/>
      <c r="AD942" s="634"/>
      <c r="AF942" s="633">
        <v>0</v>
      </c>
      <c r="AG942" s="633"/>
      <c r="AH942" s="633"/>
      <c r="AI942" s="633"/>
      <c r="AJ942" s="633"/>
      <c r="AK942" s="633"/>
      <c r="AL942" s="633"/>
    </row>
    <row r="943" spans="1:38" ht="11.1" customHeight="1" x14ac:dyDescent="0.25">
      <c r="A943" s="632" t="s">
        <v>4265</v>
      </c>
      <c r="B943" s="632"/>
      <c r="C943" s="632"/>
      <c r="H943" s="632" t="s">
        <v>1387</v>
      </c>
      <c r="I943" s="632"/>
      <c r="J943" s="632"/>
      <c r="K943" s="632"/>
      <c r="L943" s="632"/>
      <c r="M943" s="632"/>
      <c r="N943" s="632"/>
      <c r="O943" s="632"/>
      <c r="P943" s="632"/>
      <c r="Q943" s="633">
        <v>0</v>
      </c>
      <c r="R943" s="633"/>
      <c r="T943" s="634">
        <v>3669.5</v>
      </c>
      <c r="U943" s="634"/>
      <c r="V943" s="634"/>
      <c r="Y943" s="634">
        <v>3669.5</v>
      </c>
      <c r="Z943" s="634"/>
      <c r="AA943" s="634"/>
      <c r="AB943" s="634"/>
      <c r="AC943" s="634"/>
      <c r="AD943" s="634"/>
      <c r="AF943" s="633">
        <v>0</v>
      </c>
      <c r="AG943" s="633"/>
      <c r="AH943" s="633"/>
      <c r="AI943" s="633"/>
      <c r="AJ943" s="633"/>
      <c r="AK943" s="633"/>
      <c r="AL943" s="633"/>
    </row>
    <row r="944" spans="1:38" ht="11.1" customHeight="1" x14ac:dyDescent="0.25">
      <c r="A944" s="632" t="s">
        <v>4266</v>
      </c>
      <c r="B944" s="632"/>
      <c r="C944" s="632"/>
      <c r="I944" s="632" t="s">
        <v>581</v>
      </c>
      <c r="J944" s="632"/>
      <c r="K944" s="632"/>
      <c r="L944" s="632"/>
      <c r="M944" s="632"/>
      <c r="N944" s="632"/>
      <c r="O944" s="632"/>
      <c r="P944" s="632"/>
      <c r="Q944" s="633">
        <v>0</v>
      </c>
      <c r="R944" s="633"/>
      <c r="T944" s="634">
        <v>0</v>
      </c>
      <c r="U944" s="634"/>
      <c r="V944" s="634"/>
      <c r="Y944" s="634">
        <v>0</v>
      </c>
      <c r="Z944" s="634"/>
      <c r="AA944" s="634"/>
      <c r="AB944" s="634"/>
      <c r="AC944" s="634"/>
      <c r="AD944" s="634"/>
      <c r="AF944" s="633">
        <v>0</v>
      </c>
      <c r="AG944" s="633"/>
      <c r="AH944" s="633"/>
      <c r="AI944" s="633"/>
      <c r="AJ944" s="633"/>
      <c r="AK944" s="633"/>
      <c r="AL944" s="633"/>
    </row>
    <row r="945" spans="1:38" ht="11.1" customHeight="1" x14ac:dyDescent="0.25">
      <c r="A945" s="632" t="s">
        <v>4267</v>
      </c>
      <c r="B945" s="632"/>
      <c r="C945" s="632"/>
      <c r="J945" s="632" t="s">
        <v>583</v>
      </c>
      <c r="K945" s="632"/>
      <c r="L945" s="632"/>
      <c r="M945" s="632"/>
      <c r="N945" s="632"/>
      <c r="O945" s="632"/>
      <c r="P945" s="632"/>
      <c r="Q945" s="633">
        <v>-726082.96</v>
      </c>
      <c r="R945" s="633"/>
      <c r="T945" s="634">
        <v>0</v>
      </c>
      <c r="U945" s="634"/>
      <c r="V945" s="634"/>
      <c r="Y945" s="634">
        <v>0</v>
      </c>
      <c r="Z945" s="634"/>
      <c r="AA945" s="634"/>
      <c r="AB945" s="634"/>
      <c r="AC945" s="634"/>
      <c r="AD945" s="634"/>
      <c r="AF945" s="633">
        <v>-726082.96</v>
      </c>
      <c r="AG945" s="633"/>
      <c r="AH945" s="633"/>
      <c r="AI945" s="633"/>
      <c r="AJ945" s="633"/>
      <c r="AK945" s="633"/>
      <c r="AL945" s="633"/>
    </row>
    <row r="946" spans="1:38" ht="11.1" customHeight="1" x14ac:dyDescent="0.25">
      <c r="A946" s="630" t="s">
        <v>4268</v>
      </c>
      <c r="B946" s="630"/>
      <c r="C946" s="630"/>
      <c r="K946" s="630" t="s">
        <v>595</v>
      </c>
      <c r="L946" s="630"/>
      <c r="M946" s="630"/>
      <c r="N946" s="630"/>
      <c r="O946" s="630"/>
      <c r="P946" s="630"/>
      <c r="Q946" s="627">
        <v>-517928.98</v>
      </c>
      <c r="R946" s="627"/>
      <c r="T946" s="631">
        <v>0</v>
      </c>
      <c r="U946" s="631"/>
      <c r="V946" s="631"/>
      <c r="Y946" s="631">
        <v>0</v>
      </c>
      <c r="Z946" s="631"/>
      <c r="AA946" s="631"/>
      <c r="AB946" s="631"/>
      <c r="AC946" s="631"/>
      <c r="AD946" s="631"/>
      <c r="AF946" s="627">
        <v>-517928.98</v>
      </c>
      <c r="AG946" s="627"/>
      <c r="AH946" s="627"/>
      <c r="AI946" s="627"/>
      <c r="AJ946" s="627"/>
      <c r="AK946" s="627"/>
      <c r="AL946" s="627"/>
    </row>
    <row r="947" spans="1:38" ht="11.1" customHeight="1" x14ac:dyDescent="0.25">
      <c r="A947" s="630" t="s">
        <v>4269</v>
      </c>
      <c r="B947" s="630"/>
      <c r="C947" s="630"/>
      <c r="L947" s="630" t="s">
        <v>591</v>
      </c>
      <c r="M947" s="630"/>
      <c r="N947" s="630"/>
      <c r="O947" s="630"/>
      <c r="P947" s="630"/>
      <c r="Q947" s="627">
        <v>-517928.98</v>
      </c>
      <c r="R947" s="627"/>
      <c r="T947" s="631">
        <v>0</v>
      </c>
      <c r="U947" s="631"/>
      <c r="V947" s="631"/>
      <c r="Y947" s="631">
        <v>0</v>
      </c>
      <c r="Z947" s="631"/>
      <c r="AA947" s="631"/>
      <c r="AB947" s="631"/>
      <c r="AC947" s="631"/>
      <c r="AD947" s="631"/>
      <c r="AF947" s="627">
        <v>-517928.98</v>
      </c>
      <c r="AG947" s="627"/>
      <c r="AH947" s="627"/>
      <c r="AI947" s="627"/>
      <c r="AJ947" s="627"/>
      <c r="AK947" s="627"/>
      <c r="AL947" s="627"/>
    </row>
    <row r="948" spans="1:38" ht="11.1" customHeight="1" x14ac:dyDescent="0.25">
      <c r="A948" s="630" t="s">
        <v>4270</v>
      </c>
      <c r="B948" s="630"/>
      <c r="C948" s="630"/>
      <c r="M948" s="630" t="s">
        <v>595</v>
      </c>
      <c r="N948" s="630"/>
      <c r="O948" s="630"/>
      <c r="P948" s="630"/>
      <c r="Q948" s="627">
        <v>-517928.98</v>
      </c>
      <c r="R948" s="627"/>
      <c r="T948" s="631">
        <v>0</v>
      </c>
      <c r="U948" s="631"/>
      <c r="V948" s="631"/>
      <c r="Y948" s="631">
        <v>0</v>
      </c>
      <c r="Z948" s="631"/>
      <c r="AA948" s="631"/>
      <c r="AB948" s="631"/>
      <c r="AC948" s="631"/>
      <c r="AD948" s="631"/>
      <c r="AF948" s="627">
        <v>-517928.98</v>
      </c>
      <c r="AG948" s="627"/>
      <c r="AH948" s="627"/>
      <c r="AI948" s="627"/>
      <c r="AJ948" s="627"/>
      <c r="AK948" s="627"/>
      <c r="AL948" s="627"/>
    </row>
    <row r="949" spans="1:38" ht="11.1" customHeight="1" x14ac:dyDescent="0.25">
      <c r="A949" s="630" t="s">
        <v>4271</v>
      </c>
      <c r="B949" s="630"/>
      <c r="C949" s="630"/>
      <c r="K949" s="630" t="s">
        <v>568</v>
      </c>
      <c r="L949" s="630"/>
      <c r="M949" s="630"/>
      <c r="N949" s="630"/>
      <c r="O949" s="630"/>
      <c r="P949" s="630"/>
      <c r="Q949" s="627">
        <v>-7573.02</v>
      </c>
      <c r="R949" s="627"/>
      <c r="T949" s="631">
        <v>0</v>
      </c>
      <c r="U949" s="631"/>
      <c r="V949" s="631"/>
      <c r="Y949" s="631">
        <v>0</v>
      </c>
      <c r="Z949" s="631"/>
      <c r="AA949" s="631"/>
      <c r="AB949" s="631"/>
      <c r="AC949" s="631"/>
      <c r="AD949" s="631"/>
      <c r="AF949" s="627">
        <v>-7573.02</v>
      </c>
      <c r="AG949" s="627"/>
      <c r="AH949" s="627"/>
      <c r="AI949" s="627"/>
      <c r="AJ949" s="627"/>
      <c r="AK949" s="627"/>
      <c r="AL949" s="627"/>
    </row>
    <row r="950" spans="1:38" ht="11.1" customHeight="1" x14ac:dyDescent="0.25">
      <c r="A950" s="630" t="s">
        <v>4272</v>
      </c>
      <c r="B950" s="630"/>
      <c r="C950" s="630"/>
      <c r="L950" s="630" t="s">
        <v>591</v>
      </c>
      <c r="M950" s="630"/>
      <c r="N950" s="630"/>
      <c r="O950" s="630"/>
      <c r="P950" s="630"/>
      <c r="Q950" s="627">
        <v>-7573.02</v>
      </c>
      <c r="R950" s="627"/>
      <c r="T950" s="631">
        <v>0</v>
      </c>
      <c r="U950" s="631"/>
      <c r="V950" s="631"/>
      <c r="Y950" s="631">
        <v>0</v>
      </c>
      <c r="Z950" s="631"/>
      <c r="AA950" s="631"/>
      <c r="AB950" s="631"/>
      <c r="AC950" s="631"/>
      <c r="AD950" s="631"/>
      <c r="AF950" s="627">
        <v>-7573.02</v>
      </c>
      <c r="AG950" s="627"/>
      <c r="AH950" s="627"/>
      <c r="AI950" s="627"/>
      <c r="AJ950" s="627"/>
      <c r="AK950" s="627"/>
      <c r="AL950" s="627"/>
    </row>
    <row r="951" spans="1:38" ht="11.1" customHeight="1" x14ac:dyDescent="0.25">
      <c r="A951" s="630" t="s">
        <v>4273</v>
      </c>
      <c r="B951" s="630"/>
      <c r="C951" s="630"/>
      <c r="M951" s="630" t="s">
        <v>568</v>
      </c>
      <c r="N951" s="630"/>
      <c r="O951" s="630"/>
      <c r="P951" s="630"/>
      <c r="Q951" s="627">
        <v>-7573.02</v>
      </c>
      <c r="R951" s="627"/>
      <c r="T951" s="631">
        <v>0</v>
      </c>
      <c r="U951" s="631"/>
      <c r="V951" s="631"/>
      <c r="Y951" s="631">
        <v>0</v>
      </c>
      <c r="Z951" s="631"/>
      <c r="AA951" s="631"/>
      <c r="AB951" s="631"/>
      <c r="AC951" s="631"/>
      <c r="AD951" s="631"/>
      <c r="AF951" s="627">
        <v>-7573.02</v>
      </c>
      <c r="AG951" s="627"/>
      <c r="AH951" s="627"/>
      <c r="AI951" s="627"/>
      <c r="AJ951" s="627"/>
      <c r="AK951" s="627"/>
      <c r="AL951" s="627"/>
    </row>
    <row r="952" spans="1:38" ht="11.1" customHeight="1" x14ac:dyDescent="0.25">
      <c r="A952" s="630" t="s">
        <v>4274</v>
      </c>
      <c r="B952" s="630"/>
      <c r="C952" s="630"/>
      <c r="K952" s="630" t="s">
        <v>616</v>
      </c>
      <c r="L952" s="630"/>
      <c r="M952" s="630"/>
      <c r="N952" s="630"/>
      <c r="O952" s="630"/>
      <c r="P952" s="630"/>
      <c r="Q952" s="627">
        <v>-187117.7</v>
      </c>
      <c r="R952" s="627"/>
      <c r="T952" s="631">
        <v>0</v>
      </c>
      <c r="U952" s="631"/>
      <c r="V952" s="631"/>
      <c r="Y952" s="631">
        <v>0</v>
      </c>
      <c r="Z952" s="631"/>
      <c r="AA952" s="631"/>
      <c r="AB952" s="631"/>
      <c r="AC952" s="631"/>
      <c r="AD952" s="631"/>
      <c r="AF952" s="627">
        <v>-187117.7</v>
      </c>
      <c r="AG952" s="627"/>
      <c r="AH952" s="627"/>
      <c r="AI952" s="627"/>
      <c r="AJ952" s="627"/>
      <c r="AK952" s="627"/>
      <c r="AL952" s="627"/>
    </row>
    <row r="953" spans="1:38" ht="11.1" customHeight="1" x14ac:dyDescent="0.25">
      <c r="A953" s="630" t="s">
        <v>4275</v>
      </c>
      <c r="B953" s="630"/>
      <c r="C953" s="630"/>
      <c r="L953" s="630" t="s">
        <v>586</v>
      </c>
      <c r="M953" s="630"/>
      <c r="N953" s="630"/>
      <c r="O953" s="630"/>
      <c r="P953" s="630"/>
      <c r="Q953" s="627">
        <v>-84210.93</v>
      </c>
      <c r="R953" s="627"/>
      <c r="T953" s="631">
        <v>0</v>
      </c>
      <c r="U953" s="631"/>
      <c r="V953" s="631"/>
      <c r="Y953" s="631">
        <v>0</v>
      </c>
      <c r="Z953" s="631"/>
      <c r="AA953" s="631"/>
      <c r="AB953" s="631"/>
      <c r="AC953" s="631"/>
      <c r="AD953" s="631"/>
      <c r="AF953" s="627">
        <v>-84210.93</v>
      </c>
      <c r="AG953" s="627"/>
      <c r="AH953" s="627"/>
      <c r="AI953" s="627"/>
      <c r="AJ953" s="627"/>
      <c r="AK953" s="627"/>
      <c r="AL953" s="627"/>
    </row>
    <row r="954" spans="1:38" ht="11.1" customHeight="1" x14ac:dyDescent="0.25">
      <c r="A954" s="630" t="s">
        <v>4276</v>
      </c>
      <c r="B954" s="630"/>
      <c r="C954" s="630"/>
      <c r="M954" s="630" t="s">
        <v>616</v>
      </c>
      <c r="N954" s="630"/>
      <c r="O954" s="630"/>
      <c r="P954" s="630"/>
      <c r="Q954" s="627">
        <v>-84210.93</v>
      </c>
      <c r="R954" s="627"/>
      <c r="T954" s="631">
        <v>0</v>
      </c>
      <c r="U954" s="631"/>
      <c r="V954" s="631"/>
      <c r="Y954" s="631">
        <v>0</v>
      </c>
      <c r="Z954" s="631"/>
      <c r="AA954" s="631"/>
      <c r="AB954" s="631"/>
      <c r="AC954" s="631"/>
      <c r="AD954" s="631"/>
      <c r="AF954" s="627">
        <v>-84210.93</v>
      </c>
      <c r="AG954" s="627"/>
      <c r="AH954" s="627"/>
      <c r="AI954" s="627"/>
      <c r="AJ954" s="627"/>
      <c r="AK954" s="627"/>
      <c r="AL954" s="627"/>
    </row>
    <row r="955" spans="1:38" ht="11.1" customHeight="1" x14ac:dyDescent="0.25">
      <c r="A955" s="630" t="s">
        <v>4277</v>
      </c>
      <c r="B955" s="630"/>
      <c r="C955" s="630"/>
      <c r="L955" s="630" t="s">
        <v>591</v>
      </c>
      <c r="M955" s="630"/>
      <c r="N955" s="630"/>
      <c r="O955" s="630"/>
      <c r="P955" s="630"/>
      <c r="Q955" s="627">
        <v>-102906.77</v>
      </c>
      <c r="R955" s="627"/>
      <c r="T955" s="631">
        <v>0</v>
      </c>
      <c r="U955" s="631"/>
      <c r="V955" s="631"/>
      <c r="Y955" s="631">
        <v>0</v>
      </c>
      <c r="Z955" s="631"/>
      <c r="AA955" s="631"/>
      <c r="AB955" s="631"/>
      <c r="AC955" s="631"/>
      <c r="AD955" s="631"/>
      <c r="AF955" s="627">
        <v>-102906.77</v>
      </c>
      <c r="AG955" s="627"/>
      <c r="AH955" s="627"/>
      <c r="AI955" s="627"/>
      <c r="AJ955" s="627"/>
      <c r="AK955" s="627"/>
      <c r="AL955" s="627"/>
    </row>
    <row r="956" spans="1:38" ht="11.1" customHeight="1" x14ac:dyDescent="0.25">
      <c r="A956" s="630" t="s">
        <v>4278</v>
      </c>
      <c r="B956" s="630"/>
      <c r="C956" s="630"/>
      <c r="M956" s="630" t="s">
        <v>616</v>
      </c>
      <c r="N956" s="630"/>
      <c r="O956" s="630"/>
      <c r="P956" s="630"/>
      <c r="Q956" s="627">
        <v>-102906.77</v>
      </c>
      <c r="R956" s="627"/>
      <c r="T956" s="631">
        <v>0</v>
      </c>
      <c r="U956" s="631"/>
      <c r="V956" s="631"/>
      <c r="Y956" s="631">
        <v>0</v>
      </c>
      <c r="Z956" s="631"/>
      <c r="AA956" s="631"/>
      <c r="AB956" s="631"/>
      <c r="AC956" s="631"/>
      <c r="AD956" s="631"/>
      <c r="AF956" s="627">
        <v>-102906.77</v>
      </c>
      <c r="AG956" s="627"/>
      <c r="AH956" s="627"/>
      <c r="AI956" s="627"/>
      <c r="AJ956" s="627"/>
      <c r="AK956" s="627"/>
      <c r="AL956" s="627"/>
    </row>
    <row r="957" spans="1:38" ht="11.1" customHeight="1" x14ac:dyDescent="0.25">
      <c r="A957" s="630" t="s">
        <v>4279</v>
      </c>
      <c r="B957" s="630"/>
      <c r="C957" s="630"/>
      <c r="K957" s="630" t="s">
        <v>626</v>
      </c>
      <c r="L957" s="630"/>
      <c r="M957" s="630"/>
      <c r="N957" s="630"/>
      <c r="O957" s="630"/>
      <c r="P957" s="630"/>
      <c r="Q957" s="627">
        <v>-2076</v>
      </c>
      <c r="R957" s="627"/>
      <c r="T957" s="631">
        <v>0</v>
      </c>
      <c r="U957" s="631"/>
      <c r="V957" s="631"/>
      <c r="Y957" s="631">
        <v>0</v>
      </c>
      <c r="Z957" s="631"/>
      <c r="AA957" s="631"/>
      <c r="AB957" s="631"/>
      <c r="AC957" s="631"/>
      <c r="AD957" s="631"/>
      <c r="AF957" s="627">
        <v>-2076</v>
      </c>
      <c r="AG957" s="627"/>
      <c r="AH957" s="627"/>
      <c r="AI957" s="627"/>
      <c r="AJ957" s="627"/>
      <c r="AK957" s="627"/>
      <c r="AL957" s="627"/>
    </row>
    <row r="958" spans="1:38" ht="11.1" customHeight="1" x14ac:dyDescent="0.25">
      <c r="A958" s="630" t="s">
        <v>4280</v>
      </c>
      <c r="B958" s="630"/>
      <c r="C958" s="630"/>
      <c r="L958" s="630" t="s">
        <v>586</v>
      </c>
      <c r="M958" s="630"/>
      <c r="N958" s="630"/>
      <c r="O958" s="630"/>
      <c r="P958" s="630"/>
      <c r="Q958" s="627">
        <v>-2076</v>
      </c>
      <c r="R958" s="627"/>
      <c r="T958" s="631">
        <v>0</v>
      </c>
      <c r="U958" s="631"/>
      <c r="V958" s="631"/>
      <c r="Y958" s="631">
        <v>0</v>
      </c>
      <c r="Z958" s="631"/>
      <c r="AA958" s="631"/>
      <c r="AB958" s="631"/>
      <c r="AC958" s="631"/>
      <c r="AD958" s="631"/>
      <c r="AF958" s="627">
        <v>-2076</v>
      </c>
      <c r="AG958" s="627"/>
      <c r="AH958" s="627"/>
      <c r="AI958" s="627"/>
      <c r="AJ958" s="627"/>
      <c r="AK958" s="627"/>
      <c r="AL958" s="627"/>
    </row>
    <row r="959" spans="1:38" ht="11.1" customHeight="1" x14ac:dyDescent="0.25">
      <c r="A959" s="630" t="s">
        <v>4281</v>
      </c>
      <c r="B959" s="630"/>
      <c r="C959" s="630"/>
      <c r="M959" s="630" t="s">
        <v>626</v>
      </c>
      <c r="N959" s="630"/>
      <c r="O959" s="630"/>
      <c r="P959" s="630"/>
      <c r="Q959" s="627">
        <v>-2076</v>
      </c>
      <c r="R959" s="627"/>
      <c r="T959" s="631">
        <v>0</v>
      </c>
      <c r="U959" s="631"/>
      <c r="V959" s="631"/>
      <c r="Y959" s="631">
        <v>0</v>
      </c>
      <c r="Z959" s="631"/>
      <c r="AA959" s="631"/>
      <c r="AB959" s="631"/>
      <c r="AC959" s="631"/>
      <c r="AD959" s="631"/>
      <c r="AF959" s="627">
        <v>-2076</v>
      </c>
      <c r="AG959" s="627"/>
      <c r="AH959" s="627"/>
      <c r="AI959" s="627"/>
      <c r="AJ959" s="627"/>
      <c r="AK959" s="627"/>
      <c r="AL959" s="627"/>
    </row>
    <row r="960" spans="1:38" ht="11.1" customHeight="1" x14ac:dyDescent="0.25">
      <c r="A960" s="630" t="s">
        <v>4282</v>
      </c>
      <c r="B960" s="630"/>
      <c r="C960" s="630"/>
      <c r="K960" s="630" t="s">
        <v>632</v>
      </c>
      <c r="L960" s="630"/>
      <c r="M960" s="630"/>
      <c r="N960" s="630"/>
      <c r="O960" s="630"/>
      <c r="P960" s="630"/>
      <c r="Q960" s="627">
        <v>-11387.26</v>
      </c>
      <c r="R960" s="627"/>
      <c r="T960" s="631">
        <v>0</v>
      </c>
      <c r="U960" s="631"/>
      <c r="V960" s="631"/>
      <c r="Y960" s="631">
        <v>0</v>
      </c>
      <c r="Z960" s="631"/>
      <c r="AA960" s="631"/>
      <c r="AB960" s="631"/>
      <c r="AC960" s="631"/>
      <c r="AD960" s="631"/>
      <c r="AF960" s="627">
        <v>-11387.26</v>
      </c>
      <c r="AG960" s="627"/>
      <c r="AH960" s="627"/>
      <c r="AI960" s="627"/>
      <c r="AJ960" s="627"/>
      <c r="AK960" s="627"/>
      <c r="AL960" s="627"/>
    </row>
    <row r="961" spans="1:38" ht="11.1" customHeight="1" x14ac:dyDescent="0.25">
      <c r="A961" s="630" t="s">
        <v>4283</v>
      </c>
      <c r="B961" s="630"/>
      <c r="C961" s="630"/>
      <c r="L961" s="630" t="s">
        <v>586</v>
      </c>
      <c r="M961" s="630"/>
      <c r="N961" s="630"/>
      <c r="O961" s="630"/>
      <c r="P961" s="630"/>
      <c r="Q961" s="627">
        <v>-9774.8799999999992</v>
      </c>
      <c r="R961" s="627"/>
      <c r="T961" s="631">
        <v>0</v>
      </c>
      <c r="U961" s="631"/>
      <c r="V961" s="631"/>
      <c r="Y961" s="631">
        <v>0</v>
      </c>
      <c r="Z961" s="631"/>
      <c r="AA961" s="631"/>
      <c r="AB961" s="631"/>
      <c r="AC961" s="631"/>
      <c r="AD961" s="631"/>
      <c r="AF961" s="627">
        <v>-9774.8799999999992</v>
      </c>
      <c r="AG961" s="627"/>
      <c r="AH961" s="627"/>
      <c r="AI961" s="627"/>
      <c r="AJ961" s="627"/>
      <c r="AK961" s="627"/>
      <c r="AL961" s="627"/>
    </row>
    <row r="962" spans="1:38" ht="11.1" customHeight="1" x14ac:dyDescent="0.25">
      <c r="A962" s="630" t="s">
        <v>4284</v>
      </c>
      <c r="B962" s="630"/>
      <c r="C962" s="630"/>
      <c r="M962" s="630" t="s">
        <v>632</v>
      </c>
      <c r="N962" s="630"/>
      <c r="O962" s="630"/>
      <c r="P962" s="630"/>
      <c r="Q962" s="627">
        <v>-9774.8799999999992</v>
      </c>
      <c r="R962" s="627"/>
      <c r="T962" s="631">
        <v>0</v>
      </c>
      <c r="U962" s="631"/>
      <c r="V962" s="631"/>
      <c r="Y962" s="631">
        <v>0</v>
      </c>
      <c r="Z962" s="631"/>
      <c r="AA962" s="631"/>
      <c r="AB962" s="631"/>
      <c r="AC962" s="631"/>
      <c r="AD962" s="631"/>
      <c r="AF962" s="627">
        <v>-9774.8799999999992</v>
      </c>
      <c r="AG962" s="627"/>
      <c r="AH962" s="627"/>
      <c r="AI962" s="627"/>
      <c r="AJ962" s="627"/>
      <c r="AK962" s="627"/>
      <c r="AL962" s="627"/>
    </row>
    <row r="963" spans="1:38" ht="11.1" customHeight="1" x14ac:dyDescent="0.25">
      <c r="A963" s="630" t="s">
        <v>4285</v>
      </c>
      <c r="B963" s="630"/>
      <c r="C963" s="630"/>
      <c r="L963" s="630" t="s">
        <v>591</v>
      </c>
      <c r="M963" s="630"/>
      <c r="N963" s="630"/>
      <c r="O963" s="630"/>
      <c r="P963" s="630"/>
      <c r="Q963" s="627">
        <v>-1612.38</v>
      </c>
      <c r="R963" s="627"/>
      <c r="T963" s="631">
        <v>0</v>
      </c>
      <c r="U963" s="631"/>
      <c r="V963" s="631"/>
      <c r="Y963" s="631">
        <v>0</v>
      </c>
      <c r="Z963" s="631"/>
      <c r="AA963" s="631"/>
      <c r="AB963" s="631"/>
      <c r="AC963" s="631"/>
      <c r="AD963" s="631"/>
      <c r="AF963" s="627">
        <v>-1612.38</v>
      </c>
      <c r="AG963" s="627"/>
      <c r="AH963" s="627"/>
      <c r="AI963" s="627"/>
      <c r="AJ963" s="627"/>
      <c r="AK963" s="627"/>
      <c r="AL963" s="627"/>
    </row>
    <row r="964" spans="1:38" ht="11.1" customHeight="1" x14ac:dyDescent="0.25">
      <c r="A964" s="630" t="s">
        <v>4286</v>
      </c>
      <c r="B964" s="630"/>
      <c r="C964" s="630"/>
      <c r="M964" s="630" t="s">
        <v>632</v>
      </c>
      <c r="N964" s="630"/>
      <c r="O964" s="630"/>
      <c r="P964" s="630"/>
      <c r="Q964" s="627">
        <v>-1612.38</v>
      </c>
      <c r="R964" s="627"/>
      <c r="T964" s="631">
        <v>0</v>
      </c>
      <c r="U964" s="631"/>
      <c r="V964" s="631"/>
      <c r="Y964" s="631">
        <v>0</v>
      </c>
      <c r="Z964" s="631"/>
      <c r="AA964" s="631"/>
      <c r="AB964" s="631"/>
      <c r="AC964" s="631"/>
      <c r="AD964" s="631"/>
      <c r="AF964" s="627">
        <v>-1612.38</v>
      </c>
      <c r="AG964" s="627"/>
      <c r="AH964" s="627"/>
      <c r="AI964" s="627"/>
      <c r="AJ964" s="627"/>
      <c r="AK964" s="627"/>
      <c r="AL964" s="627"/>
    </row>
    <row r="965" spans="1:38" ht="11.1" customHeight="1" x14ac:dyDescent="0.25">
      <c r="A965" s="632" t="s">
        <v>4287</v>
      </c>
      <c r="B965" s="632"/>
      <c r="C965" s="632"/>
      <c r="J965" s="632" t="s">
        <v>642</v>
      </c>
      <c r="K965" s="632"/>
      <c r="L965" s="632"/>
      <c r="M965" s="632"/>
      <c r="N965" s="632"/>
      <c r="O965" s="632"/>
      <c r="P965" s="632"/>
      <c r="Q965" s="633">
        <v>726082.96</v>
      </c>
      <c r="R965" s="633"/>
      <c r="T965" s="634">
        <v>0</v>
      </c>
      <c r="U965" s="634"/>
      <c r="V965" s="634"/>
      <c r="Y965" s="634">
        <v>0</v>
      </c>
      <c r="Z965" s="634"/>
      <c r="AA965" s="634"/>
      <c r="AB965" s="634"/>
      <c r="AC965" s="634"/>
      <c r="AD965" s="634"/>
      <c r="AF965" s="633">
        <v>726082.96</v>
      </c>
      <c r="AG965" s="633"/>
      <c r="AH965" s="633"/>
      <c r="AI965" s="633"/>
      <c r="AJ965" s="633"/>
      <c r="AK965" s="633"/>
      <c r="AL965" s="633"/>
    </row>
    <row r="966" spans="1:38" ht="11.1" customHeight="1" x14ac:dyDescent="0.25">
      <c r="A966" s="630" t="s">
        <v>4288</v>
      </c>
      <c r="B966" s="630"/>
      <c r="C966" s="630"/>
      <c r="K966" s="630" t="s">
        <v>595</v>
      </c>
      <c r="L966" s="630"/>
      <c r="M966" s="630"/>
      <c r="N966" s="630"/>
      <c r="O966" s="630"/>
      <c r="P966" s="630"/>
      <c r="Q966" s="627">
        <v>517928.98</v>
      </c>
      <c r="R966" s="627"/>
      <c r="T966" s="631">
        <v>0</v>
      </c>
      <c r="U966" s="631"/>
      <c r="V966" s="631"/>
      <c r="Y966" s="631">
        <v>0</v>
      </c>
      <c r="Z966" s="631"/>
      <c r="AA966" s="631"/>
      <c r="AB966" s="631"/>
      <c r="AC966" s="631"/>
      <c r="AD966" s="631"/>
      <c r="AF966" s="627">
        <v>517928.98</v>
      </c>
      <c r="AG966" s="627"/>
      <c r="AH966" s="627"/>
      <c r="AI966" s="627"/>
      <c r="AJ966" s="627"/>
      <c r="AK966" s="627"/>
      <c r="AL966" s="627"/>
    </row>
    <row r="967" spans="1:38" ht="11.1" customHeight="1" x14ac:dyDescent="0.25">
      <c r="A967" s="630" t="s">
        <v>4289</v>
      </c>
      <c r="B967" s="630"/>
      <c r="C967" s="630"/>
      <c r="L967" s="630" t="s">
        <v>591</v>
      </c>
      <c r="M967" s="630"/>
      <c r="N967" s="630"/>
      <c r="O967" s="630"/>
      <c r="P967" s="630"/>
      <c r="Q967" s="627">
        <v>517928.98</v>
      </c>
      <c r="R967" s="627"/>
      <c r="T967" s="631">
        <v>0</v>
      </c>
      <c r="U967" s="631"/>
      <c r="V967" s="631"/>
      <c r="Y967" s="631">
        <v>0</v>
      </c>
      <c r="Z967" s="631"/>
      <c r="AA967" s="631"/>
      <c r="AB967" s="631"/>
      <c r="AC967" s="631"/>
      <c r="AD967" s="631"/>
      <c r="AF967" s="627">
        <v>517928.98</v>
      </c>
      <c r="AG967" s="627"/>
      <c r="AH967" s="627"/>
      <c r="AI967" s="627"/>
      <c r="AJ967" s="627"/>
      <c r="AK967" s="627"/>
      <c r="AL967" s="627"/>
    </row>
    <row r="968" spans="1:38" ht="11.1" customHeight="1" x14ac:dyDescent="0.25">
      <c r="A968" s="630" t="s">
        <v>4290</v>
      </c>
      <c r="B968" s="630"/>
      <c r="C968" s="630"/>
      <c r="M968" s="630" t="s">
        <v>595</v>
      </c>
      <c r="N968" s="630"/>
      <c r="O968" s="630"/>
      <c r="P968" s="630"/>
      <c r="Q968" s="627">
        <v>517928.98</v>
      </c>
      <c r="R968" s="627"/>
      <c r="T968" s="631">
        <v>0</v>
      </c>
      <c r="U968" s="631"/>
      <c r="V968" s="631"/>
      <c r="Y968" s="631">
        <v>0</v>
      </c>
      <c r="Z968" s="631"/>
      <c r="AA968" s="631"/>
      <c r="AB968" s="631"/>
      <c r="AC968" s="631"/>
      <c r="AD968" s="631"/>
      <c r="AF968" s="627">
        <v>517928.98</v>
      </c>
      <c r="AG968" s="627"/>
      <c r="AH968" s="627"/>
      <c r="AI968" s="627"/>
      <c r="AJ968" s="627"/>
      <c r="AK968" s="627"/>
      <c r="AL968" s="627"/>
    </row>
    <row r="969" spans="1:38" ht="11.1" customHeight="1" x14ac:dyDescent="0.25">
      <c r="A969" s="630" t="s">
        <v>4291</v>
      </c>
      <c r="B969" s="630"/>
      <c r="C969" s="630"/>
      <c r="K969" s="630" t="s">
        <v>568</v>
      </c>
      <c r="L969" s="630"/>
      <c r="M969" s="630"/>
      <c r="N969" s="630"/>
      <c r="O969" s="630"/>
      <c r="P969" s="630"/>
      <c r="Q969" s="627">
        <v>7573.02</v>
      </c>
      <c r="R969" s="627"/>
      <c r="T969" s="631">
        <v>0</v>
      </c>
      <c r="U969" s="631"/>
      <c r="V969" s="631"/>
      <c r="Y969" s="631">
        <v>0</v>
      </c>
      <c r="Z969" s="631"/>
      <c r="AA969" s="631"/>
      <c r="AB969" s="631"/>
      <c r="AC969" s="631"/>
      <c r="AD969" s="631"/>
      <c r="AF969" s="627">
        <v>7573.02</v>
      </c>
      <c r="AG969" s="627"/>
      <c r="AH969" s="627"/>
      <c r="AI969" s="627"/>
      <c r="AJ969" s="627"/>
      <c r="AK969" s="627"/>
      <c r="AL969" s="627"/>
    </row>
    <row r="970" spans="1:38" ht="11.1" customHeight="1" x14ac:dyDescent="0.25">
      <c r="A970" s="630" t="s">
        <v>4292</v>
      </c>
      <c r="B970" s="630"/>
      <c r="C970" s="630"/>
      <c r="L970" s="630" t="s">
        <v>591</v>
      </c>
      <c r="M970" s="630"/>
      <c r="N970" s="630"/>
      <c r="O970" s="630"/>
      <c r="P970" s="630"/>
      <c r="Q970" s="627">
        <v>7573.02</v>
      </c>
      <c r="R970" s="627"/>
      <c r="T970" s="631">
        <v>0</v>
      </c>
      <c r="U970" s="631"/>
      <c r="V970" s="631"/>
      <c r="Y970" s="631">
        <v>0</v>
      </c>
      <c r="Z970" s="631"/>
      <c r="AA970" s="631"/>
      <c r="AB970" s="631"/>
      <c r="AC970" s="631"/>
      <c r="AD970" s="631"/>
      <c r="AF970" s="627">
        <v>7573.02</v>
      </c>
      <c r="AG970" s="627"/>
      <c r="AH970" s="627"/>
      <c r="AI970" s="627"/>
      <c r="AJ970" s="627"/>
      <c r="AK970" s="627"/>
      <c r="AL970" s="627"/>
    </row>
    <row r="971" spans="1:38" ht="11.1" customHeight="1" x14ac:dyDescent="0.25">
      <c r="A971" s="630" t="s">
        <v>4293</v>
      </c>
      <c r="B971" s="630"/>
      <c r="C971" s="630"/>
      <c r="M971" s="630" t="s">
        <v>568</v>
      </c>
      <c r="N971" s="630"/>
      <c r="O971" s="630"/>
      <c r="P971" s="630"/>
      <c r="Q971" s="627">
        <v>7573.02</v>
      </c>
      <c r="R971" s="627"/>
      <c r="T971" s="631">
        <v>0</v>
      </c>
      <c r="U971" s="631"/>
      <c r="V971" s="631"/>
      <c r="Y971" s="631">
        <v>0</v>
      </c>
      <c r="Z971" s="631"/>
      <c r="AA971" s="631"/>
      <c r="AB971" s="631"/>
      <c r="AC971" s="631"/>
      <c r="AD971" s="631"/>
      <c r="AF971" s="627">
        <v>7573.02</v>
      </c>
      <c r="AG971" s="627"/>
      <c r="AH971" s="627"/>
      <c r="AI971" s="627"/>
      <c r="AJ971" s="627"/>
      <c r="AK971" s="627"/>
      <c r="AL971" s="627"/>
    </row>
    <row r="972" spans="1:38" ht="11.1" customHeight="1" x14ac:dyDescent="0.25">
      <c r="A972" s="630" t="s">
        <v>4294</v>
      </c>
      <c r="B972" s="630"/>
      <c r="C972" s="630"/>
      <c r="K972" s="630" t="s">
        <v>616</v>
      </c>
      <c r="L972" s="630"/>
      <c r="M972" s="630"/>
      <c r="N972" s="630"/>
      <c r="O972" s="630"/>
      <c r="P972" s="630"/>
      <c r="Q972" s="627">
        <v>187117.7</v>
      </c>
      <c r="R972" s="627"/>
      <c r="T972" s="631">
        <v>0</v>
      </c>
      <c r="U972" s="631"/>
      <c r="V972" s="631"/>
      <c r="Y972" s="631">
        <v>0</v>
      </c>
      <c r="Z972" s="631"/>
      <c r="AA972" s="631"/>
      <c r="AB972" s="631"/>
      <c r="AC972" s="631"/>
      <c r="AD972" s="631"/>
      <c r="AF972" s="627">
        <v>187117.7</v>
      </c>
      <c r="AG972" s="627"/>
      <c r="AH972" s="627"/>
      <c r="AI972" s="627"/>
      <c r="AJ972" s="627"/>
      <c r="AK972" s="627"/>
      <c r="AL972" s="627"/>
    </row>
    <row r="973" spans="1:38" ht="11.1" customHeight="1" x14ac:dyDescent="0.25">
      <c r="A973" s="630" t="s">
        <v>4295</v>
      </c>
      <c r="B973" s="630"/>
      <c r="C973" s="630"/>
      <c r="L973" s="630" t="s">
        <v>586</v>
      </c>
      <c r="M973" s="630"/>
      <c r="N973" s="630"/>
      <c r="O973" s="630"/>
      <c r="P973" s="630"/>
      <c r="Q973" s="627">
        <v>84210.93</v>
      </c>
      <c r="R973" s="627"/>
      <c r="T973" s="631">
        <v>0</v>
      </c>
      <c r="U973" s="631"/>
      <c r="V973" s="631"/>
      <c r="Y973" s="631">
        <v>0</v>
      </c>
      <c r="Z973" s="631"/>
      <c r="AA973" s="631"/>
      <c r="AB973" s="631"/>
      <c r="AC973" s="631"/>
      <c r="AD973" s="631"/>
      <c r="AF973" s="627">
        <v>84210.93</v>
      </c>
      <c r="AG973" s="627"/>
      <c r="AH973" s="627"/>
      <c r="AI973" s="627"/>
      <c r="AJ973" s="627"/>
      <c r="AK973" s="627"/>
      <c r="AL973" s="627"/>
    </row>
    <row r="974" spans="1:38" ht="11.1" customHeight="1" x14ac:dyDescent="0.25">
      <c r="A974" s="630" t="s">
        <v>4296</v>
      </c>
      <c r="B974" s="630"/>
      <c r="C974" s="630"/>
      <c r="M974" s="630" t="s">
        <v>616</v>
      </c>
      <c r="N974" s="630"/>
      <c r="O974" s="630"/>
      <c r="P974" s="630"/>
      <c r="Q974" s="627">
        <v>84210.93</v>
      </c>
      <c r="R974" s="627"/>
      <c r="T974" s="631">
        <v>0</v>
      </c>
      <c r="U974" s="631"/>
      <c r="V974" s="631"/>
      <c r="Y974" s="631">
        <v>0</v>
      </c>
      <c r="Z974" s="631"/>
      <c r="AA974" s="631"/>
      <c r="AB974" s="631"/>
      <c r="AC974" s="631"/>
      <c r="AD974" s="631"/>
      <c r="AF974" s="627">
        <v>84210.93</v>
      </c>
      <c r="AG974" s="627"/>
      <c r="AH974" s="627"/>
      <c r="AI974" s="627"/>
      <c r="AJ974" s="627"/>
      <c r="AK974" s="627"/>
      <c r="AL974" s="627"/>
    </row>
    <row r="975" spans="1:38" ht="11.1" customHeight="1" x14ac:dyDescent="0.25">
      <c r="A975" s="630" t="s">
        <v>4297</v>
      </c>
      <c r="B975" s="630"/>
      <c r="C975" s="630"/>
      <c r="L975" s="630" t="s">
        <v>591</v>
      </c>
      <c r="M975" s="630"/>
      <c r="N975" s="630"/>
      <c r="O975" s="630"/>
      <c r="P975" s="630"/>
      <c r="Q975" s="627">
        <v>102906.77</v>
      </c>
      <c r="R975" s="627"/>
      <c r="T975" s="631">
        <v>0</v>
      </c>
      <c r="U975" s="631"/>
      <c r="V975" s="631"/>
      <c r="Y975" s="631">
        <v>0</v>
      </c>
      <c r="Z975" s="631"/>
      <c r="AA975" s="631"/>
      <c r="AB975" s="631"/>
      <c r="AC975" s="631"/>
      <c r="AD975" s="631"/>
      <c r="AF975" s="627">
        <v>102906.77</v>
      </c>
      <c r="AG975" s="627"/>
      <c r="AH975" s="627"/>
      <c r="AI975" s="627"/>
      <c r="AJ975" s="627"/>
      <c r="AK975" s="627"/>
      <c r="AL975" s="627"/>
    </row>
    <row r="976" spans="1:38" ht="11.1" customHeight="1" x14ac:dyDescent="0.25">
      <c r="A976" s="630" t="s">
        <v>4298</v>
      </c>
      <c r="B976" s="630"/>
      <c r="C976" s="630"/>
      <c r="M976" s="630" t="s">
        <v>616</v>
      </c>
      <c r="N976" s="630"/>
      <c r="O976" s="630"/>
      <c r="P976" s="630"/>
      <c r="Q976" s="627">
        <v>102906.77</v>
      </c>
      <c r="R976" s="627"/>
      <c r="T976" s="631">
        <v>0</v>
      </c>
      <c r="U976" s="631"/>
      <c r="V976" s="631"/>
      <c r="Y976" s="631">
        <v>0</v>
      </c>
      <c r="Z976" s="631"/>
      <c r="AA976" s="631"/>
      <c r="AB976" s="631"/>
      <c r="AC976" s="631"/>
      <c r="AD976" s="631"/>
      <c r="AF976" s="627">
        <v>102906.77</v>
      </c>
      <c r="AG976" s="627"/>
      <c r="AH976" s="627"/>
      <c r="AI976" s="627"/>
      <c r="AJ976" s="627"/>
      <c r="AK976" s="627"/>
      <c r="AL976" s="627"/>
    </row>
    <row r="977" spans="1:38" ht="11.1" customHeight="1" x14ac:dyDescent="0.25">
      <c r="A977" s="630" t="s">
        <v>4299</v>
      </c>
      <c r="B977" s="630"/>
      <c r="C977" s="630"/>
      <c r="K977" s="630" t="s">
        <v>626</v>
      </c>
      <c r="L977" s="630"/>
      <c r="M977" s="630"/>
      <c r="N977" s="630"/>
      <c r="O977" s="630"/>
      <c r="P977" s="630"/>
      <c r="Q977" s="627">
        <v>2076</v>
      </c>
      <c r="R977" s="627"/>
      <c r="T977" s="631">
        <v>0</v>
      </c>
      <c r="U977" s="631"/>
      <c r="V977" s="631"/>
      <c r="Y977" s="631">
        <v>0</v>
      </c>
      <c r="Z977" s="631"/>
      <c r="AA977" s="631"/>
      <c r="AB977" s="631"/>
      <c r="AC977" s="631"/>
      <c r="AD977" s="631"/>
      <c r="AF977" s="627">
        <v>2076</v>
      </c>
      <c r="AG977" s="627"/>
      <c r="AH977" s="627"/>
      <c r="AI977" s="627"/>
      <c r="AJ977" s="627"/>
      <c r="AK977" s="627"/>
      <c r="AL977" s="627"/>
    </row>
    <row r="978" spans="1:38" ht="11.1" customHeight="1" x14ac:dyDescent="0.25">
      <c r="A978" s="630" t="s">
        <v>4300</v>
      </c>
      <c r="B978" s="630"/>
      <c r="C978" s="630"/>
      <c r="L978" s="630" t="s">
        <v>586</v>
      </c>
      <c r="M978" s="630"/>
      <c r="N978" s="630"/>
      <c r="O978" s="630"/>
      <c r="P978" s="630"/>
      <c r="Q978" s="627">
        <v>2076</v>
      </c>
      <c r="R978" s="627"/>
      <c r="T978" s="631">
        <v>0</v>
      </c>
      <c r="U978" s="631"/>
      <c r="V978" s="631"/>
      <c r="Y978" s="631">
        <v>0</v>
      </c>
      <c r="Z978" s="631"/>
      <c r="AA978" s="631"/>
      <c r="AB978" s="631"/>
      <c r="AC978" s="631"/>
      <c r="AD978" s="631"/>
      <c r="AF978" s="627">
        <v>2076</v>
      </c>
      <c r="AG978" s="627"/>
      <c r="AH978" s="627"/>
      <c r="AI978" s="627"/>
      <c r="AJ978" s="627"/>
      <c r="AK978" s="627"/>
      <c r="AL978" s="627"/>
    </row>
    <row r="979" spans="1:38" ht="11.1" customHeight="1" x14ac:dyDescent="0.25">
      <c r="A979" s="630" t="s">
        <v>4301</v>
      </c>
      <c r="B979" s="630"/>
      <c r="C979" s="630"/>
      <c r="M979" s="630" t="s">
        <v>626</v>
      </c>
      <c r="N979" s="630"/>
      <c r="O979" s="630"/>
      <c r="P979" s="630"/>
      <c r="Q979" s="627">
        <v>2076</v>
      </c>
      <c r="R979" s="627"/>
      <c r="T979" s="631">
        <v>0</v>
      </c>
      <c r="U979" s="631"/>
      <c r="V979" s="631"/>
      <c r="Y979" s="631">
        <v>0</v>
      </c>
      <c r="Z979" s="631"/>
      <c r="AA979" s="631"/>
      <c r="AB979" s="631"/>
      <c r="AC979" s="631"/>
      <c r="AD979" s="631"/>
      <c r="AF979" s="627">
        <v>2076</v>
      </c>
      <c r="AG979" s="627"/>
      <c r="AH979" s="627"/>
      <c r="AI979" s="627"/>
      <c r="AJ979" s="627"/>
      <c r="AK979" s="627"/>
      <c r="AL979" s="627"/>
    </row>
    <row r="980" spans="1:38" ht="11.1" customHeight="1" x14ac:dyDescent="0.25">
      <c r="A980" s="630" t="s">
        <v>4302</v>
      </c>
      <c r="B980" s="630"/>
      <c r="C980" s="630"/>
      <c r="K980" s="630" t="s">
        <v>632</v>
      </c>
      <c r="L980" s="630"/>
      <c r="M980" s="630"/>
      <c r="N980" s="630"/>
      <c r="O980" s="630"/>
      <c r="P980" s="630"/>
      <c r="Q980" s="627">
        <v>11387.26</v>
      </c>
      <c r="R980" s="627"/>
      <c r="T980" s="631">
        <v>0</v>
      </c>
      <c r="U980" s="631"/>
      <c r="V980" s="631"/>
      <c r="Y980" s="631">
        <v>0</v>
      </c>
      <c r="Z980" s="631"/>
      <c r="AA980" s="631"/>
      <c r="AB980" s="631"/>
      <c r="AC980" s="631"/>
      <c r="AD980" s="631"/>
      <c r="AF980" s="627">
        <v>11387.26</v>
      </c>
      <c r="AG980" s="627"/>
      <c r="AH980" s="627"/>
      <c r="AI980" s="627"/>
      <c r="AJ980" s="627"/>
      <c r="AK980" s="627"/>
      <c r="AL980" s="627"/>
    </row>
    <row r="981" spans="1:38" ht="11.1" customHeight="1" x14ac:dyDescent="0.25">
      <c r="A981" s="630" t="s">
        <v>4303</v>
      </c>
      <c r="B981" s="630"/>
      <c r="C981" s="630"/>
      <c r="L981" s="630" t="s">
        <v>586</v>
      </c>
      <c r="M981" s="630"/>
      <c r="N981" s="630"/>
      <c r="O981" s="630"/>
      <c r="P981" s="630"/>
      <c r="Q981" s="627">
        <v>9774.8799999999992</v>
      </c>
      <c r="R981" s="627"/>
      <c r="T981" s="631">
        <v>0</v>
      </c>
      <c r="U981" s="631"/>
      <c r="V981" s="631"/>
      <c r="Y981" s="631">
        <v>0</v>
      </c>
      <c r="Z981" s="631"/>
      <c r="AA981" s="631"/>
      <c r="AB981" s="631"/>
      <c r="AC981" s="631"/>
      <c r="AD981" s="631"/>
      <c r="AF981" s="627">
        <v>9774.8799999999992</v>
      </c>
      <c r="AG981" s="627"/>
      <c r="AH981" s="627"/>
      <c r="AI981" s="627"/>
      <c r="AJ981" s="627"/>
      <c r="AK981" s="627"/>
      <c r="AL981" s="627"/>
    </row>
    <row r="982" spans="1:38" ht="11.1" customHeight="1" x14ac:dyDescent="0.25">
      <c r="A982" s="630" t="s">
        <v>4304</v>
      </c>
      <c r="B982" s="630"/>
      <c r="C982" s="630"/>
      <c r="M982" s="630" t="s">
        <v>632</v>
      </c>
      <c r="N982" s="630"/>
      <c r="O982" s="630"/>
      <c r="P982" s="630"/>
      <c r="Q982" s="627">
        <v>9774.8799999999992</v>
      </c>
      <c r="R982" s="627"/>
      <c r="T982" s="631">
        <v>0</v>
      </c>
      <c r="U982" s="631"/>
      <c r="V982" s="631"/>
      <c r="Y982" s="631">
        <v>0</v>
      </c>
      <c r="Z982" s="631"/>
      <c r="AA982" s="631"/>
      <c r="AB982" s="631"/>
      <c r="AC982" s="631"/>
      <c r="AD982" s="631"/>
      <c r="AF982" s="627">
        <v>9774.8799999999992</v>
      </c>
      <c r="AG982" s="627"/>
      <c r="AH982" s="627"/>
      <c r="AI982" s="627"/>
      <c r="AJ982" s="627"/>
      <c r="AK982" s="627"/>
      <c r="AL982" s="627"/>
    </row>
    <row r="983" spans="1:38" ht="11.1" customHeight="1" x14ac:dyDescent="0.25">
      <c r="A983" s="630" t="s">
        <v>4305</v>
      </c>
      <c r="B983" s="630"/>
      <c r="C983" s="630"/>
      <c r="L983" s="630" t="s">
        <v>591</v>
      </c>
      <c r="M983" s="630"/>
      <c r="N983" s="630"/>
      <c r="O983" s="630"/>
      <c r="P983" s="630"/>
      <c r="Q983" s="627">
        <v>1612.38</v>
      </c>
      <c r="R983" s="627"/>
      <c r="T983" s="631">
        <v>0</v>
      </c>
      <c r="U983" s="631"/>
      <c r="V983" s="631"/>
      <c r="Y983" s="631">
        <v>0</v>
      </c>
      <c r="Z983" s="631"/>
      <c r="AA983" s="631"/>
      <c r="AB983" s="631"/>
      <c r="AC983" s="631"/>
      <c r="AD983" s="631"/>
      <c r="AF983" s="627">
        <v>1612.38</v>
      </c>
      <c r="AG983" s="627"/>
      <c r="AH983" s="627"/>
      <c r="AI983" s="627"/>
      <c r="AJ983" s="627"/>
      <c r="AK983" s="627"/>
      <c r="AL983" s="627"/>
    </row>
    <row r="984" spans="1:38" ht="11.1" customHeight="1" x14ac:dyDescent="0.25">
      <c r="A984" s="630" t="s">
        <v>4306</v>
      </c>
      <c r="B984" s="630"/>
      <c r="C984" s="630"/>
      <c r="M984" s="630" t="s">
        <v>632</v>
      </c>
      <c r="N984" s="630"/>
      <c r="O984" s="630"/>
      <c r="P984" s="630"/>
      <c r="Q984" s="627">
        <v>1612.38</v>
      </c>
      <c r="R984" s="627"/>
      <c r="T984" s="631">
        <v>0</v>
      </c>
      <c r="U984" s="631"/>
      <c r="V984" s="631"/>
      <c r="Y984" s="631">
        <v>0</v>
      </c>
      <c r="Z984" s="631"/>
      <c r="AA984" s="631"/>
      <c r="AB984" s="631"/>
      <c r="AC984" s="631"/>
      <c r="AD984" s="631"/>
      <c r="AF984" s="627">
        <v>1612.38</v>
      </c>
      <c r="AG984" s="627"/>
      <c r="AH984" s="627"/>
      <c r="AI984" s="627"/>
      <c r="AJ984" s="627"/>
      <c r="AK984" s="627"/>
      <c r="AL984" s="627"/>
    </row>
    <row r="985" spans="1:38" ht="11.1" customHeight="1" x14ac:dyDescent="0.25">
      <c r="A985" s="632" t="s">
        <v>4307</v>
      </c>
      <c r="B985" s="632"/>
      <c r="C985" s="632"/>
      <c r="I985" s="632" t="s">
        <v>793</v>
      </c>
      <c r="J985" s="632"/>
      <c r="K985" s="632"/>
      <c r="L985" s="632"/>
      <c r="M985" s="632"/>
      <c r="N985" s="632"/>
      <c r="O985" s="632"/>
      <c r="P985" s="632"/>
      <c r="Q985" s="633">
        <v>0</v>
      </c>
      <c r="R985" s="633"/>
      <c r="T985" s="634">
        <v>3669.5</v>
      </c>
      <c r="U985" s="634"/>
      <c r="V985" s="634"/>
      <c r="Y985" s="634">
        <v>3669.5</v>
      </c>
      <c r="Z985" s="634"/>
      <c r="AA985" s="634"/>
      <c r="AB985" s="634"/>
      <c r="AC985" s="634"/>
      <c r="AD985" s="634"/>
      <c r="AF985" s="633">
        <v>0</v>
      </c>
      <c r="AG985" s="633"/>
      <c r="AH985" s="633"/>
      <c r="AI985" s="633"/>
      <c r="AJ985" s="633"/>
      <c r="AK985" s="633"/>
      <c r="AL985" s="633"/>
    </row>
    <row r="986" spans="1:38" ht="11.1" customHeight="1" x14ac:dyDescent="0.25">
      <c r="A986" s="632" t="s">
        <v>4308</v>
      </c>
      <c r="B986" s="632"/>
      <c r="C986" s="632"/>
      <c r="J986" s="632" t="s">
        <v>795</v>
      </c>
      <c r="K986" s="632"/>
      <c r="L986" s="632"/>
      <c r="M986" s="632"/>
      <c r="N986" s="632"/>
      <c r="O986" s="632"/>
      <c r="P986" s="632"/>
      <c r="Q986" s="633">
        <v>-457650.87</v>
      </c>
      <c r="R986" s="633"/>
      <c r="T986" s="634">
        <v>0</v>
      </c>
      <c r="U986" s="634"/>
      <c r="V986" s="634"/>
      <c r="Y986" s="634">
        <v>3669.5</v>
      </c>
      <c r="Z986" s="634"/>
      <c r="AA986" s="634"/>
      <c r="AB986" s="634"/>
      <c r="AC986" s="634"/>
      <c r="AD986" s="634"/>
      <c r="AF986" s="633">
        <v>-461320.37</v>
      </c>
      <c r="AG986" s="633"/>
      <c r="AH986" s="633"/>
      <c r="AI986" s="633"/>
      <c r="AJ986" s="633"/>
      <c r="AK986" s="633"/>
      <c r="AL986" s="633"/>
    </row>
    <row r="987" spans="1:38" ht="11.1" customHeight="1" x14ac:dyDescent="0.25">
      <c r="A987" s="630" t="s">
        <v>4309</v>
      </c>
      <c r="B987" s="630"/>
      <c r="C987" s="630"/>
      <c r="K987" s="630" t="s">
        <v>616</v>
      </c>
      <c r="L987" s="630"/>
      <c r="M987" s="630"/>
      <c r="N987" s="630"/>
      <c r="O987" s="630"/>
      <c r="P987" s="630"/>
      <c r="Q987" s="627">
        <v>-341828.63</v>
      </c>
      <c r="R987" s="627"/>
      <c r="T987" s="631">
        <v>0</v>
      </c>
      <c r="U987" s="631"/>
      <c r="V987" s="631"/>
      <c r="Y987" s="631">
        <v>1820</v>
      </c>
      <c r="Z987" s="631"/>
      <c r="AA987" s="631"/>
      <c r="AB987" s="631"/>
      <c r="AC987" s="631"/>
      <c r="AD987" s="631"/>
      <c r="AF987" s="627">
        <v>-343648.63</v>
      </c>
      <c r="AG987" s="627"/>
      <c r="AH987" s="627"/>
      <c r="AI987" s="627"/>
      <c r="AJ987" s="627"/>
      <c r="AK987" s="627"/>
      <c r="AL987" s="627"/>
    </row>
    <row r="988" spans="1:38" ht="11.1" customHeight="1" x14ac:dyDescent="0.25">
      <c r="A988" s="630" t="s">
        <v>4310</v>
      </c>
      <c r="B988" s="630"/>
      <c r="C988" s="630"/>
      <c r="L988" s="630" t="s">
        <v>335</v>
      </c>
      <c r="M988" s="630"/>
      <c r="N988" s="630"/>
      <c r="O988" s="630"/>
      <c r="P988" s="630"/>
      <c r="Q988" s="627">
        <v>-341828.63</v>
      </c>
      <c r="R988" s="627"/>
      <c r="T988" s="631">
        <v>0</v>
      </c>
      <c r="U988" s="631"/>
      <c r="V988" s="631"/>
      <c r="Y988" s="631">
        <v>1820</v>
      </c>
      <c r="Z988" s="631"/>
      <c r="AA988" s="631"/>
      <c r="AB988" s="631"/>
      <c r="AC988" s="631"/>
      <c r="AD988" s="631"/>
      <c r="AF988" s="627">
        <v>-343648.63</v>
      </c>
      <c r="AG988" s="627"/>
      <c r="AH988" s="627"/>
      <c r="AI988" s="627"/>
      <c r="AJ988" s="627"/>
      <c r="AK988" s="627"/>
      <c r="AL988" s="627"/>
    </row>
    <row r="989" spans="1:38" ht="11.1" customHeight="1" x14ac:dyDescent="0.25">
      <c r="A989" s="630" t="s">
        <v>4311</v>
      </c>
      <c r="B989" s="630"/>
      <c r="C989" s="630"/>
      <c r="M989" s="630" t="s">
        <v>616</v>
      </c>
      <c r="N989" s="630"/>
      <c r="O989" s="630"/>
      <c r="P989" s="630"/>
      <c r="Q989" s="627">
        <v>-341828.63</v>
      </c>
      <c r="R989" s="627"/>
      <c r="T989" s="631">
        <v>0</v>
      </c>
      <c r="U989" s="631"/>
      <c r="V989" s="631"/>
      <c r="Y989" s="631">
        <v>1820</v>
      </c>
      <c r="Z989" s="631"/>
      <c r="AA989" s="631"/>
      <c r="AB989" s="631"/>
      <c r="AC989" s="631"/>
      <c r="AD989" s="631"/>
      <c r="AF989" s="627">
        <v>-343648.63</v>
      </c>
      <c r="AG989" s="627"/>
      <c r="AH989" s="627"/>
      <c r="AI989" s="627"/>
      <c r="AJ989" s="627"/>
      <c r="AK989" s="627"/>
      <c r="AL989" s="627"/>
    </row>
    <row r="990" spans="1:38" ht="11.1" customHeight="1" x14ac:dyDescent="0.25">
      <c r="A990" s="630" t="s">
        <v>4312</v>
      </c>
      <c r="B990" s="630"/>
      <c r="C990" s="630"/>
      <c r="K990" s="630" t="s">
        <v>626</v>
      </c>
      <c r="L990" s="630"/>
      <c r="M990" s="630"/>
      <c r="N990" s="630"/>
      <c r="O990" s="630"/>
      <c r="P990" s="630"/>
      <c r="Q990" s="627">
        <v>-109513.56</v>
      </c>
      <c r="R990" s="627"/>
      <c r="T990" s="631">
        <v>0</v>
      </c>
      <c r="U990" s="631"/>
      <c r="V990" s="631"/>
      <c r="Y990" s="631">
        <v>0</v>
      </c>
      <c r="Z990" s="631"/>
      <c r="AA990" s="631"/>
      <c r="AB990" s="631"/>
      <c r="AC990" s="631"/>
      <c r="AD990" s="631"/>
      <c r="AF990" s="627">
        <v>-109513.56</v>
      </c>
      <c r="AG990" s="627"/>
      <c r="AH990" s="627"/>
      <c r="AI990" s="627"/>
      <c r="AJ990" s="627"/>
      <c r="AK990" s="627"/>
      <c r="AL990" s="627"/>
    </row>
    <row r="991" spans="1:38" ht="11.1" customHeight="1" x14ac:dyDescent="0.25">
      <c r="A991" s="630" t="s">
        <v>4313</v>
      </c>
      <c r="B991" s="630"/>
      <c r="C991" s="630"/>
      <c r="L991" s="630" t="s">
        <v>335</v>
      </c>
      <c r="M991" s="630"/>
      <c r="N991" s="630"/>
      <c r="O991" s="630"/>
      <c r="P991" s="630"/>
      <c r="Q991" s="627">
        <v>-109513.56</v>
      </c>
      <c r="R991" s="627"/>
      <c r="T991" s="631">
        <v>0</v>
      </c>
      <c r="U991" s="631"/>
      <c r="V991" s="631"/>
      <c r="Y991" s="631">
        <v>0</v>
      </c>
      <c r="Z991" s="631"/>
      <c r="AA991" s="631"/>
      <c r="AB991" s="631"/>
      <c r="AC991" s="631"/>
      <c r="AD991" s="631"/>
      <c r="AF991" s="627">
        <v>-109513.56</v>
      </c>
      <c r="AG991" s="627"/>
      <c r="AH991" s="627"/>
      <c r="AI991" s="627"/>
      <c r="AJ991" s="627"/>
      <c r="AK991" s="627"/>
      <c r="AL991" s="627"/>
    </row>
    <row r="992" spans="1:38" ht="11.1" customHeight="1" x14ac:dyDescent="0.25">
      <c r="A992" s="630" t="s">
        <v>4314</v>
      </c>
      <c r="B992" s="630"/>
      <c r="C992" s="630"/>
      <c r="M992" s="630" t="s">
        <v>626</v>
      </c>
      <c r="N992" s="630"/>
      <c r="O992" s="630"/>
      <c r="P992" s="630"/>
      <c r="Q992" s="627">
        <v>-109513.56</v>
      </c>
      <c r="R992" s="627"/>
      <c r="T992" s="631">
        <v>0</v>
      </c>
      <c r="U992" s="631"/>
      <c r="V992" s="631"/>
      <c r="Y992" s="631">
        <v>0</v>
      </c>
      <c r="Z992" s="631"/>
      <c r="AA992" s="631"/>
      <c r="AB992" s="631"/>
      <c r="AC992" s="631"/>
      <c r="AD992" s="631"/>
      <c r="AF992" s="627">
        <v>-109513.56</v>
      </c>
      <c r="AG992" s="627"/>
      <c r="AH992" s="627"/>
      <c r="AI992" s="627"/>
      <c r="AJ992" s="627"/>
      <c r="AK992" s="627"/>
      <c r="AL992" s="627"/>
    </row>
    <row r="993" spans="1:38" ht="11.1" customHeight="1" x14ac:dyDescent="0.25">
      <c r="A993" s="630" t="s">
        <v>4315</v>
      </c>
      <c r="B993" s="630"/>
      <c r="C993" s="630"/>
      <c r="K993" s="630" t="s">
        <v>632</v>
      </c>
      <c r="L993" s="630"/>
      <c r="M993" s="630"/>
      <c r="N993" s="630"/>
      <c r="O993" s="630"/>
      <c r="P993" s="630"/>
      <c r="Q993" s="627">
        <v>-6308.68</v>
      </c>
      <c r="R993" s="627"/>
      <c r="T993" s="631">
        <v>0</v>
      </c>
      <c r="U993" s="631"/>
      <c r="V993" s="631"/>
      <c r="Y993" s="631">
        <v>1849.5</v>
      </c>
      <c r="Z993" s="631"/>
      <c r="AA993" s="631"/>
      <c r="AB993" s="631"/>
      <c r="AC993" s="631"/>
      <c r="AD993" s="631"/>
      <c r="AF993" s="627">
        <v>-8158.18</v>
      </c>
      <c r="AG993" s="627"/>
      <c r="AH993" s="627"/>
      <c r="AI993" s="627"/>
      <c r="AJ993" s="627"/>
      <c r="AK993" s="627"/>
      <c r="AL993" s="627"/>
    </row>
    <row r="994" spans="1:38" ht="11.1" customHeight="1" x14ac:dyDescent="0.25">
      <c r="A994" s="630" t="s">
        <v>4316</v>
      </c>
      <c r="B994" s="630"/>
      <c r="C994" s="630"/>
      <c r="L994" s="630" t="s">
        <v>335</v>
      </c>
      <c r="M994" s="630"/>
      <c r="N994" s="630"/>
      <c r="O994" s="630"/>
      <c r="P994" s="630"/>
      <c r="Q994" s="627">
        <v>-6308.68</v>
      </c>
      <c r="R994" s="627"/>
      <c r="T994" s="631">
        <v>0</v>
      </c>
      <c r="U994" s="631"/>
      <c r="V994" s="631"/>
      <c r="Y994" s="631">
        <v>1849.5</v>
      </c>
      <c r="Z994" s="631"/>
      <c r="AA994" s="631"/>
      <c r="AB994" s="631"/>
      <c r="AC994" s="631"/>
      <c r="AD994" s="631"/>
      <c r="AF994" s="627">
        <v>-8158.18</v>
      </c>
      <c r="AG994" s="627"/>
      <c r="AH994" s="627"/>
      <c r="AI994" s="627"/>
      <c r="AJ994" s="627"/>
      <c r="AK994" s="627"/>
      <c r="AL994" s="627"/>
    </row>
    <row r="995" spans="1:38" ht="11.1" customHeight="1" x14ac:dyDescent="0.25">
      <c r="A995" s="630" t="s">
        <v>4317</v>
      </c>
      <c r="B995" s="630"/>
      <c r="C995" s="630"/>
      <c r="M995" s="630" t="s">
        <v>632</v>
      </c>
      <c r="N995" s="630"/>
      <c r="O995" s="630"/>
      <c r="P995" s="630"/>
      <c r="Q995" s="627">
        <v>-6308.68</v>
      </c>
      <c r="R995" s="627"/>
      <c r="T995" s="631">
        <v>0</v>
      </c>
      <c r="U995" s="631"/>
      <c r="V995" s="631"/>
      <c r="Y995" s="631">
        <v>1849.5</v>
      </c>
      <c r="Z995" s="631"/>
      <c r="AA995" s="631"/>
      <c r="AB995" s="631"/>
      <c r="AC995" s="631"/>
      <c r="AD995" s="631"/>
      <c r="AF995" s="627">
        <v>-8158.18</v>
      </c>
      <c r="AG995" s="627"/>
      <c r="AH995" s="627"/>
      <c r="AI995" s="627"/>
      <c r="AJ995" s="627"/>
      <c r="AK995" s="627"/>
      <c r="AL995" s="627"/>
    </row>
    <row r="996" spans="1:38" ht="11.1" customHeight="1" x14ac:dyDescent="0.25">
      <c r="A996" s="632" t="s">
        <v>4318</v>
      </c>
      <c r="B996" s="632"/>
      <c r="C996" s="632"/>
      <c r="J996" s="632" t="s">
        <v>814</v>
      </c>
      <c r="K996" s="632"/>
      <c r="L996" s="632"/>
      <c r="M996" s="632"/>
      <c r="N996" s="632"/>
      <c r="O996" s="632"/>
      <c r="P996" s="632"/>
      <c r="Q996" s="633">
        <v>457650.87</v>
      </c>
      <c r="R996" s="633"/>
      <c r="T996" s="634">
        <v>3669.5</v>
      </c>
      <c r="U996" s="634"/>
      <c r="V996" s="634"/>
      <c r="Y996" s="634">
        <v>0</v>
      </c>
      <c r="Z996" s="634"/>
      <c r="AA996" s="634"/>
      <c r="AB996" s="634"/>
      <c r="AC996" s="634"/>
      <c r="AD996" s="634"/>
      <c r="AF996" s="633">
        <v>461320.37</v>
      </c>
      <c r="AG996" s="633"/>
      <c r="AH996" s="633"/>
      <c r="AI996" s="633"/>
      <c r="AJ996" s="633"/>
      <c r="AK996" s="633"/>
      <c r="AL996" s="633"/>
    </row>
    <row r="997" spans="1:38" ht="11.1" customHeight="1" x14ac:dyDescent="0.25">
      <c r="A997" s="630" t="s">
        <v>4319</v>
      </c>
      <c r="B997" s="630"/>
      <c r="C997" s="630"/>
      <c r="K997" s="630" t="s">
        <v>616</v>
      </c>
      <c r="L997" s="630"/>
      <c r="M997" s="630"/>
      <c r="N997" s="630"/>
      <c r="O997" s="630"/>
      <c r="P997" s="630"/>
      <c r="Q997" s="627">
        <v>341828.63</v>
      </c>
      <c r="R997" s="627"/>
      <c r="T997" s="631">
        <v>1820</v>
      </c>
      <c r="U997" s="631"/>
      <c r="V997" s="631"/>
      <c r="Y997" s="631">
        <v>0</v>
      </c>
      <c r="Z997" s="631"/>
      <c r="AA997" s="631"/>
      <c r="AB997" s="631"/>
      <c r="AC997" s="631"/>
      <c r="AD997" s="631"/>
      <c r="AF997" s="627">
        <v>343648.63</v>
      </c>
      <c r="AG997" s="627"/>
      <c r="AH997" s="627"/>
      <c r="AI997" s="627"/>
      <c r="AJ997" s="627"/>
      <c r="AK997" s="627"/>
      <c r="AL997" s="627"/>
    </row>
    <row r="998" spans="1:38" ht="11.1" customHeight="1" x14ac:dyDescent="0.25">
      <c r="A998" s="630" t="s">
        <v>4320</v>
      </c>
      <c r="B998" s="630"/>
      <c r="C998" s="630"/>
      <c r="L998" s="630" t="s">
        <v>335</v>
      </c>
      <c r="M998" s="630"/>
      <c r="N998" s="630"/>
      <c r="O998" s="630"/>
      <c r="P998" s="630"/>
      <c r="Q998" s="627">
        <v>341828.63</v>
      </c>
      <c r="R998" s="627"/>
      <c r="T998" s="631">
        <v>1820</v>
      </c>
      <c r="U998" s="631"/>
      <c r="V998" s="631"/>
      <c r="Y998" s="631">
        <v>0</v>
      </c>
      <c r="Z998" s="631"/>
      <c r="AA998" s="631"/>
      <c r="AB998" s="631"/>
      <c r="AC998" s="631"/>
      <c r="AD998" s="631"/>
      <c r="AF998" s="627">
        <v>343648.63</v>
      </c>
      <c r="AG998" s="627"/>
      <c r="AH998" s="627"/>
      <c r="AI998" s="627"/>
      <c r="AJ998" s="627"/>
      <c r="AK998" s="627"/>
      <c r="AL998" s="627"/>
    </row>
    <row r="999" spans="1:38" ht="11.1" customHeight="1" x14ac:dyDescent="0.25">
      <c r="A999" s="630" t="s">
        <v>4321</v>
      </c>
      <c r="B999" s="630"/>
      <c r="C999" s="630"/>
      <c r="M999" s="630" t="s">
        <v>616</v>
      </c>
      <c r="N999" s="630"/>
      <c r="O999" s="630"/>
      <c r="P999" s="630"/>
      <c r="Q999" s="627">
        <v>341828.63</v>
      </c>
      <c r="R999" s="627"/>
      <c r="T999" s="631">
        <v>1820</v>
      </c>
      <c r="U999" s="631"/>
      <c r="V999" s="631"/>
      <c r="Y999" s="631">
        <v>0</v>
      </c>
      <c r="Z999" s="631"/>
      <c r="AA999" s="631"/>
      <c r="AB999" s="631"/>
      <c r="AC999" s="631"/>
      <c r="AD999" s="631"/>
      <c r="AF999" s="627">
        <v>343648.63</v>
      </c>
      <c r="AG999" s="627"/>
      <c r="AH999" s="627"/>
      <c r="AI999" s="627"/>
      <c r="AJ999" s="627"/>
      <c r="AK999" s="627"/>
      <c r="AL999" s="627"/>
    </row>
    <row r="1000" spans="1:38" ht="11.1" customHeight="1" x14ac:dyDescent="0.25">
      <c r="A1000" s="630" t="s">
        <v>4322</v>
      </c>
      <c r="B1000" s="630"/>
      <c r="C1000" s="630"/>
      <c r="K1000" s="630" t="s">
        <v>626</v>
      </c>
      <c r="L1000" s="630"/>
      <c r="M1000" s="630"/>
      <c r="N1000" s="630"/>
      <c r="O1000" s="630"/>
      <c r="P1000" s="630"/>
      <c r="Q1000" s="627">
        <v>109513.56</v>
      </c>
      <c r="R1000" s="627"/>
      <c r="T1000" s="631">
        <v>0</v>
      </c>
      <c r="U1000" s="631"/>
      <c r="V1000" s="631"/>
      <c r="Y1000" s="631">
        <v>0</v>
      </c>
      <c r="Z1000" s="631"/>
      <c r="AA1000" s="631"/>
      <c r="AB1000" s="631"/>
      <c r="AC1000" s="631"/>
      <c r="AD1000" s="631"/>
      <c r="AF1000" s="627">
        <v>109513.56</v>
      </c>
      <c r="AG1000" s="627"/>
      <c r="AH1000" s="627"/>
      <c r="AI1000" s="627"/>
      <c r="AJ1000" s="627"/>
      <c r="AK1000" s="627"/>
      <c r="AL1000" s="627"/>
    </row>
    <row r="1001" spans="1:38" ht="11.1" customHeight="1" x14ac:dyDescent="0.25">
      <c r="A1001" s="630" t="s">
        <v>4323</v>
      </c>
      <c r="B1001" s="630"/>
      <c r="C1001" s="630"/>
      <c r="L1001" s="630" t="s">
        <v>335</v>
      </c>
      <c r="M1001" s="630"/>
      <c r="N1001" s="630"/>
      <c r="O1001" s="630"/>
      <c r="P1001" s="630"/>
      <c r="Q1001" s="627">
        <v>109513.56</v>
      </c>
      <c r="R1001" s="627"/>
      <c r="T1001" s="631">
        <v>0</v>
      </c>
      <c r="U1001" s="631"/>
      <c r="V1001" s="631"/>
      <c r="Y1001" s="631">
        <v>0</v>
      </c>
      <c r="Z1001" s="631"/>
      <c r="AA1001" s="631"/>
      <c r="AB1001" s="631"/>
      <c r="AC1001" s="631"/>
      <c r="AD1001" s="631"/>
      <c r="AF1001" s="627">
        <v>109513.56</v>
      </c>
      <c r="AG1001" s="627"/>
      <c r="AH1001" s="627"/>
      <c r="AI1001" s="627"/>
      <c r="AJ1001" s="627"/>
      <c r="AK1001" s="627"/>
      <c r="AL1001" s="627"/>
    </row>
    <row r="1002" spans="1:38" ht="11.1" customHeight="1" x14ac:dyDescent="0.25">
      <c r="A1002" s="630" t="s">
        <v>4324</v>
      </c>
      <c r="B1002" s="630"/>
      <c r="C1002" s="630"/>
      <c r="M1002" s="630" t="s">
        <v>626</v>
      </c>
      <c r="N1002" s="630"/>
      <c r="O1002" s="630"/>
      <c r="P1002" s="630"/>
      <c r="Q1002" s="627">
        <v>109513.56</v>
      </c>
      <c r="R1002" s="627"/>
      <c r="T1002" s="631">
        <v>0</v>
      </c>
      <c r="U1002" s="631"/>
      <c r="V1002" s="631"/>
      <c r="Y1002" s="631">
        <v>0</v>
      </c>
      <c r="Z1002" s="631"/>
      <c r="AA1002" s="631"/>
      <c r="AB1002" s="631"/>
      <c r="AC1002" s="631"/>
      <c r="AD1002" s="631"/>
      <c r="AF1002" s="627">
        <v>109513.56</v>
      </c>
      <c r="AG1002" s="627"/>
      <c r="AH1002" s="627"/>
      <c r="AI1002" s="627"/>
      <c r="AJ1002" s="627"/>
      <c r="AK1002" s="627"/>
      <c r="AL1002" s="627"/>
    </row>
    <row r="1003" spans="1:38" ht="11.1" customHeight="1" x14ac:dyDescent="0.25">
      <c r="A1003" s="630" t="s">
        <v>4325</v>
      </c>
      <c r="B1003" s="630"/>
      <c r="C1003" s="630"/>
      <c r="K1003" s="630" t="s">
        <v>632</v>
      </c>
      <c r="L1003" s="630"/>
      <c r="M1003" s="630"/>
      <c r="N1003" s="630"/>
      <c r="O1003" s="630"/>
      <c r="P1003" s="630"/>
      <c r="Q1003" s="627">
        <v>6308.68</v>
      </c>
      <c r="R1003" s="627"/>
      <c r="T1003" s="631">
        <v>1849.5</v>
      </c>
      <c r="U1003" s="631"/>
      <c r="V1003" s="631"/>
      <c r="Y1003" s="631">
        <v>0</v>
      </c>
      <c r="Z1003" s="631"/>
      <c r="AA1003" s="631"/>
      <c r="AB1003" s="631"/>
      <c r="AC1003" s="631"/>
      <c r="AD1003" s="631"/>
      <c r="AF1003" s="627">
        <v>8158.18</v>
      </c>
      <c r="AG1003" s="627"/>
      <c r="AH1003" s="627"/>
      <c r="AI1003" s="627"/>
      <c r="AJ1003" s="627"/>
      <c r="AK1003" s="627"/>
      <c r="AL1003" s="627"/>
    </row>
    <row r="1004" spans="1:38" ht="11.1" customHeight="1" x14ac:dyDescent="0.25">
      <c r="A1004" s="630" t="s">
        <v>4326</v>
      </c>
      <c r="B1004" s="630"/>
      <c r="C1004" s="630"/>
      <c r="L1004" s="630" t="s">
        <v>335</v>
      </c>
      <c r="M1004" s="630"/>
      <c r="N1004" s="630"/>
      <c r="O1004" s="630"/>
      <c r="P1004" s="630"/>
      <c r="Q1004" s="627">
        <v>6308.68</v>
      </c>
      <c r="R1004" s="627"/>
      <c r="T1004" s="631">
        <v>1849.5</v>
      </c>
      <c r="U1004" s="631"/>
      <c r="V1004" s="631"/>
      <c r="Y1004" s="631">
        <v>0</v>
      </c>
      <c r="Z1004" s="631"/>
      <c r="AA1004" s="631"/>
      <c r="AB1004" s="631"/>
      <c r="AC1004" s="631"/>
      <c r="AD1004" s="631"/>
      <c r="AF1004" s="627">
        <v>8158.18</v>
      </c>
      <c r="AG1004" s="627"/>
      <c r="AH1004" s="627"/>
      <c r="AI1004" s="627"/>
      <c r="AJ1004" s="627"/>
      <c r="AK1004" s="627"/>
      <c r="AL1004" s="627"/>
    </row>
    <row r="1005" spans="1:38" ht="11.1" customHeight="1" x14ac:dyDescent="0.25">
      <c r="A1005" s="630" t="s">
        <v>4327</v>
      </c>
      <c r="B1005" s="630"/>
      <c r="C1005" s="630"/>
      <c r="M1005" s="630" t="s">
        <v>632</v>
      </c>
      <c r="N1005" s="630"/>
      <c r="O1005" s="630"/>
      <c r="P1005" s="630"/>
      <c r="Q1005" s="627">
        <v>6308.68</v>
      </c>
      <c r="R1005" s="627"/>
      <c r="T1005" s="631">
        <v>1849.5</v>
      </c>
      <c r="U1005" s="631"/>
      <c r="V1005" s="631"/>
      <c r="Y1005" s="631">
        <v>0</v>
      </c>
      <c r="Z1005" s="631"/>
      <c r="AA1005" s="631"/>
      <c r="AB1005" s="631"/>
      <c r="AC1005" s="631"/>
      <c r="AD1005" s="631"/>
      <c r="AF1005" s="627">
        <v>8158.18</v>
      </c>
      <c r="AG1005" s="627"/>
      <c r="AH1005" s="627"/>
      <c r="AI1005" s="627"/>
      <c r="AJ1005" s="627"/>
      <c r="AK1005" s="627"/>
      <c r="AL1005" s="627"/>
    </row>
    <row r="1006" spans="1:38" ht="11.1" customHeight="1" x14ac:dyDescent="0.25">
      <c r="A1006" s="632" t="s">
        <v>4328</v>
      </c>
      <c r="B1006" s="632"/>
      <c r="C1006" s="632"/>
      <c r="H1006" s="632" t="s">
        <v>1451</v>
      </c>
      <c r="I1006" s="632"/>
      <c r="J1006" s="632"/>
      <c r="K1006" s="632"/>
      <c r="L1006" s="632"/>
      <c r="M1006" s="632"/>
      <c r="N1006" s="632"/>
      <c r="O1006" s="632"/>
      <c r="P1006" s="632"/>
      <c r="Q1006" s="633">
        <v>0</v>
      </c>
      <c r="R1006" s="633"/>
      <c r="T1006" s="634">
        <v>0</v>
      </c>
      <c r="U1006" s="634"/>
      <c r="V1006" s="634"/>
      <c r="Y1006" s="634">
        <v>0</v>
      </c>
      <c r="Z1006" s="634"/>
      <c r="AA1006" s="634"/>
      <c r="AB1006" s="634"/>
      <c r="AC1006" s="634"/>
      <c r="AD1006" s="634"/>
      <c r="AF1006" s="633">
        <v>0</v>
      </c>
      <c r="AG1006" s="633"/>
      <c r="AH1006" s="633"/>
      <c r="AI1006" s="633"/>
      <c r="AJ1006" s="633"/>
      <c r="AK1006" s="633"/>
      <c r="AL1006" s="633"/>
    </row>
    <row r="1007" spans="1:38" ht="11.1" customHeight="1" x14ac:dyDescent="0.25">
      <c r="A1007" s="632" t="s">
        <v>4329</v>
      </c>
      <c r="B1007" s="632"/>
      <c r="C1007" s="632"/>
      <c r="I1007" s="632" t="s">
        <v>581</v>
      </c>
      <c r="J1007" s="632"/>
      <c r="K1007" s="632"/>
      <c r="L1007" s="632"/>
      <c r="M1007" s="632"/>
      <c r="N1007" s="632"/>
      <c r="O1007" s="632"/>
      <c r="P1007" s="632"/>
      <c r="Q1007" s="633">
        <v>0</v>
      </c>
      <c r="R1007" s="633"/>
      <c r="T1007" s="634">
        <v>0</v>
      </c>
      <c r="U1007" s="634"/>
      <c r="V1007" s="634"/>
      <c r="Y1007" s="634">
        <v>0</v>
      </c>
      <c r="Z1007" s="634"/>
      <c r="AA1007" s="634"/>
      <c r="AB1007" s="634"/>
      <c r="AC1007" s="634"/>
      <c r="AD1007" s="634"/>
      <c r="AF1007" s="633">
        <v>0</v>
      </c>
      <c r="AG1007" s="633"/>
      <c r="AH1007" s="633"/>
      <c r="AI1007" s="633"/>
      <c r="AJ1007" s="633"/>
      <c r="AK1007" s="633"/>
      <c r="AL1007" s="633"/>
    </row>
    <row r="1008" spans="1:38" ht="11.1" customHeight="1" x14ac:dyDescent="0.25">
      <c r="A1008" s="632" t="s">
        <v>4330</v>
      </c>
      <c r="B1008" s="632"/>
      <c r="C1008" s="632"/>
      <c r="J1008" s="632" t="s">
        <v>845</v>
      </c>
      <c r="K1008" s="632"/>
      <c r="L1008" s="632"/>
      <c r="M1008" s="632"/>
      <c r="N1008" s="632"/>
      <c r="O1008" s="632"/>
      <c r="P1008" s="632"/>
      <c r="Q1008" s="633">
        <v>-228705.84</v>
      </c>
      <c r="R1008" s="633"/>
      <c r="T1008" s="634">
        <v>0</v>
      </c>
      <c r="U1008" s="634"/>
      <c r="V1008" s="634"/>
      <c r="Y1008" s="634">
        <v>0</v>
      </c>
      <c r="Z1008" s="634"/>
      <c r="AA1008" s="634"/>
      <c r="AB1008" s="634"/>
      <c r="AC1008" s="634"/>
      <c r="AD1008" s="634"/>
      <c r="AF1008" s="633">
        <v>-228705.84</v>
      </c>
      <c r="AG1008" s="633"/>
      <c r="AH1008" s="633"/>
      <c r="AI1008" s="633"/>
      <c r="AJ1008" s="633"/>
      <c r="AK1008" s="633"/>
      <c r="AL1008" s="633"/>
    </row>
    <row r="1009" spans="1:38" ht="11.1" customHeight="1" x14ac:dyDescent="0.25">
      <c r="A1009" s="630" t="s">
        <v>4331</v>
      </c>
      <c r="B1009" s="630"/>
      <c r="C1009" s="630"/>
      <c r="K1009" s="630" t="s">
        <v>852</v>
      </c>
      <c r="L1009" s="630"/>
      <c r="M1009" s="630"/>
      <c r="N1009" s="630"/>
      <c r="O1009" s="630"/>
      <c r="P1009" s="630"/>
      <c r="Q1009" s="627">
        <v>-228705.84</v>
      </c>
      <c r="R1009" s="627"/>
      <c r="T1009" s="631">
        <v>0</v>
      </c>
      <c r="U1009" s="631"/>
      <c r="V1009" s="631"/>
      <c r="Y1009" s="631">
        <v>0</v>
      </c>
      <c r="Z1009" s="631"/>
      <c r="AA1009" s="631"/>
      <c r="AB1009" s="631"/>
      <c r="AC1009" s="631"/>
      <c r="AD1009" s="631"/>
      <c r="AF1009" s="627">
        <v>-228705.84</v>
      </c>
      <c r="AG1009" s="627"/>
      <c r="AH1009" s="627"/>
      <c r="AI1009" s="627"/>
      <c r="AJ1009" s="627"/>
      <c r="AK1009" s="627"/>
      <c r="AL1009" s="627"/>
    </row>
    <row r="1010" spans="1:38" ht="11.1" customHeight="1" x14ac:dyDescent="0.25">
      <c r="A1010" s="630" t="s">
        <v>4332</v>
      </c>
      <c r="B1010" s="630"/>
      <c r="C1010" s="630"/>
      <c r="L1010" s="630" t="s">
        <v>591</v>
      </c>
      <c r="M1010" s="630"/>
      <c r="N1010" s="630"/>
      <c r="O1010" s="630"/>
      <c r="P1010" s="630"/>
      <c r="Q1010" s="627">
        <v>-228705.84</v>
      </c>
      <c r="R1010" s="627"/>
      <c r="T1010" s="631">
        <v>0</v>
      </c>
      <c r="U1010" s="631"/>
      <c r="V1010" s="631"/>
      <c r="Y1010" s="631">
        <v>0</v>
      </c>
      <c r="Z1010" s="631"/>
      <c r="AA1010" s="631"/>
      <c r="AB1010" s="631"/>
      <c r="AC1010" s="631"/>
      <c r="AD1010" s="631"/>
      <c r="AF1010" s="627">
        <v>-228705.84</v>
      </c>
      <c r="AG1010" s="627"/>
      <c r="AH1010" s="627"/>
      <c r="AI1010" s="627"/>
      <c r="AJ1010" s="627"/>
      <c r="AK1010" s="627"/>
      <c r="AL1010" s="627"/>
    </row>
    <row r="1011" spans="1:38" ht="11.1" customHeight="1" x14ac:dyDescent="0.25">
      <c r="A1011" s="630" t="s">
        <v>4333</v>
      </c>
      <c r="B1011" s="630"/>
      <c r="C1011" s="630"/>
      <c r="M1011" s="630" t="s">
        <v>852</v>
      </c>
      <c r="N1011" s="630"/>
      <c r="O1011" s="630"/>
      <c r="P1011" s="630"/>
      <c r="Q1011" s="627">
        <v>-228705.84</v>
      </c>
      <c r="R1011" s="627"/>
      <c r="T1011" s="631">
        <v>0</v>
      </c>
      <c r="U1011" s="631"/>
      <c r="V1011" s="631"/>
      <c r="Y1011" s="631">
        <v>0</v>
      </c>
      <c r="Z1011" s="631"/>
      <c r="AA1011" s="631"/>
      <c r="AB1011" s="631"/>
      <c r="AC1011" s="631"/>
      <c r="AD1011" s="631"/>
      <c r="AF1011" s="627">
        <v>-228705.84</v>
      </c>
      <c r="AG1011" s="627"/>
      <c r="AH1011" s="627"/>
      <c r="AI1011" s="627"/>
      <c r="AJ1011" s="627"/>
      <c r="AK1011" s="627"/>
      <c r="AL1011" s="627"/>
    </row>
    <row r="1012" spans="1:38" ht="11.1" customHeight="1" x14ac:dyDescent="0.25">
      <c r="A1012" s="632" t="s">
        <v>4334</v>
      </c>
      <c r="B1012" s="632"/>
      <c r="C1012" s="632"/>
      <c r="J1012" s="632" t="s">
        <v>862</v>
      </c>
      <c r="K1012" s="632"/>
      <c r="L1012" s="632"/>
      <c r="M1012" s="632"/>
      <c r="N1012" s="632"/>
      <c r="O1012" s="632"/>
      <c r="P1012" s="632"/>
      <c r="Q1012" s="633">
        <v>228705.84</v>
      </c>
      <c r="R1012" s="633"/>
      <c r="T1012" s="634">
        <v>0</v>
      </c>
      <c r="U1012" s="634"/>
      <c r="V1012" s="634"/>
      <c r="Y1012" s="634">
        <v>0</v>
      </c>
      <c r="Z1012" s="634"/>
      <c r="AA1012" s="634"/>
      <c r="AB1012" s="634"/>
      <c r="AC1012" s="634"/>
      <c r="AD1012" s="634"/>
      <c r="AF1012" s="633">
        <v>228705.84</v>
      </c>
      <c r="AG1012" s="633"/>
      <c r="AH1012" s="633"/>
      <c r="AI1012" s="633"/>
      <c r="AJ1012" s="633"/>
      <c r="AK1012" s="633"/>
      <c r="AL1012" s="633"/>
    </row>
    <row r="1013" spans="1:38" ht="11.1" customHeight="1" x14ac:dyDescent="0.25">
      <c r="A1013" s="630" t="s">
        <v>4335</v>
      </c>
      <c r="B1013" s="630"/>
      <c r="C1013" s="630"/>
      <c r="K1013" s="630" t="s">
        <v>852</v>
      </c>
      <c r="L1013" s="630"/>
      <c r="M1013" s="630"/>
      <c r="N1013" s="630"/>
      <c r="O1013" s="630"/>
      <c r="P1013" s="630"/>
      <c r="Q1013" s="627">
        <v>228705.84</v>
      </c>
      <c r="R1013" s="627"/>
      <c r="T1013" s="631">
        <v>0</v>
      </c>
      <c r="U1013" s="631"/>
      <c r="V1013" s="631"/>
      <c r="Y1013" s="631">
        <v>0</v>
      </c>
      <c r="Z1013" s="631"/>
      <c r="AA1013" s="631"/>
      <c r="AB1013" s="631"/>
      <c r="AC1013" s="631"/>
      <c r="AD1013" s="631"/>
      <c r="AF1013" s="627">
        <v>228705.84</v>
      </c>
      <c r="AG1013" s="627"/>
      <c r="AH1013" s="627"/>
      <c r="AI1013" s="627"/>
      <c r="AJ1013" s="627"/>
      <c r="AK1013" s="627"/>
      <c r="AL1013" s="627"/>
    </row>
    <row r="1014" spans="1:38" ht="11.1" customHeight="1" x14ac:dyDescent="0.25">
      <c r="A1014" s="630" t="s">
        <v>4336</v>
      </c>
      <c r="B1014" s="630"/>
      <c r="C1014" s="630"/>
      <c r="L1014" s="630" t="s">
        <v>591</v>
      </c>
      <c r="M1014" s="630"/>
      <c r="N1014" s="630"/>
      <c r="O1014" s="630"/>
      <c r="P1014" s="630"/>
      <c r="Q1014" s="627">
        <v>228705.84</v>
      </c>
      <c r="R1014" s="627"/>
      <c r="T1014" s="631">
        <v>0</v>
      </c>
      <c r="U1014" s="631"/>
      <c r="V1014" s="631"/>
      <c r="Y1014" s="631">
        <v>0</v>
      </c>
      <c r="Z1014" s="631"/>
      <c r="AA1014" s="631"/>
      <c r="AB1014" s="631"/>
      <c r="AC1014" s="631"/>
      <c r="AD1014" s="631"/>
      <c r="AF1014" s="627">
        <v>228705.84</v>
      </c>
      <c r="AG1014" s="627"/>
      <c r="AH1014" s="627"/>
      <c r="AI1014" s="627"/>
      <c r="AJ1014" s="627"/>
      <c r="AK1014" s="627"/>
      <c r="AL1014" s="627"/>
    </row>
    <row r="1015" spans="1:38" ht="11.1" customHeight="1" x14ac:dyDescent="0.25">
      <c r="A1015" s="630" t="s">
        <v>4337</v>
      </c>
      <c r="B1015" s="630"/>
      <c r="C1015" s="630"/>
      <c r="M1015" s="630" t="s">
        <v>852</v>
      </c>
      <c r="N1015" s="630"/>
      <c r="O1015" s="630"/>
      <c r="P1015" s="630"/>
      <c r="Q1015" s="627">
        <v>228705.84</v>
      </c>
      <c r="R1015" s="627"/>
      <c r="T1015" s="631">
        <v>0</v>
      </c>
      <c r="U1015" s="631"/>
      <c r="V1015" s="631"/>
      <c r="Y1015" s="631">
        <v>0</v>
      </c>
      <c r="Z1015" s="631"/>
      <c r="AA1015" s="631"/>
      <c r="AB1015" s="631"/>
      <c r="AC1015" s="631"/>
      <c r="AD1015" s="631"/>
      <c r="AF1015" s="627">
        <v>228705.84</v>
      </c>
      <c r="AG1015" s="627"/>
      <c r="AH1015" s="627"/>
      <c r="AI1015" s="627"/>
      <c r="AJ1015" s="627"/>
      <c r="AK1015" s="627"/>
      <c r="AL1015" s="627"/>
    </row>
    <row r="1016" spans="1:38" ht="11.1" customHeight="1" x14ac:dyDescent="0.25">
      <c r="A1016" s="632" t="s">
        <v>4338</v>
      </c>
      <c r="B1016" s="632"/>
      <c r="C1016" s="632"/>
      <c r="I1016" s="632" t="s">
        <v>793</v>
      </c>
      <c r="J1016" s="632"/>
      <c r="K1016" s="632"/>
      <c r="L1016" s="632"/>
      <c r="M1016" s="632"/>
      <c r="N1016" s="632"/>
      <c r="O1016" s="632"/>
      <c r="P1016" s="632"/>
      <c r="Q1016" s="633">
        <v>0</v>
      </c>
      <c r="R1016" s="633"/>
      <c r="T1016" s="634">
        <v>0</v>
      </c>
      <c r="U1016" s="634"/>
      <c r="V1016" s="634"/>
      <c r="Y1016" s="634">
        <v>0</v>
      </c>
      <c r="Z1016" s="634"/>
      <c r="AA1016" s="634"/>
      <c r="AB1016" s="634"/>
      <c r="AC1016" s="634"/>
      <c r="AD1016" s="634"/>
      <c r="AF1016" s="633">
        <v>0</v>
      </c>
      <c r="AG1016" s="633"/>
      <c r="AH1016" s="633"/>
      <c r="AI1016" s="633"/>
      <c r="AJ1016" s="633"/>
      <c r="AK1016" s="633"/>
      <c r="AL1016" s="633"/>
    </row>
    <row r="1017" spans="1:38" ht="11.1" customHeight="1" x14ac:dyDescent="0.25">
      <c r="A1017" s="632" t="s">
        <v>4339</v>
      </c>
      <c r="B1017" s="632"/>
      <c r="C1017" s="632"/>
      <c r="J1017" s="632" t="s">
        <v>887</v>
      </c>
      <c r="K1017" s="632"/>
      <c r="L1017" s="632"/>
      <c r="M1017" s="632"/>
      <c r="N1017" s="632"/>
      <c r="O1017" s="632"/>
      <c r="P1017" s="632"/>
      <c r="Q1017" s="633">
        <v>-220382.57</v>
      </c>
      <c r="R1017" s="633"/>
      <c r="T1017" s="634">
        <v>0</v>
      </c>
      <c r="U1017" s="634"/>
      <c r="V1017" s="634"/>
      <c r="Y1017" s="634">
        <v>0</v>
      </c>
      <c r="Z1017" s="634"/>
      <c r="AA1017" s="634"/>
      <c r="AB1017" s="634"/>
      <c r="AC1017" s="634"/>
      <c r="AD1017" s="634"/>
      <c r="AF1017" s="633">
        <v>-220382.57</v>
      </c>
      <c r="AG1017" s="633"/>
      <c r="AH1017" s="633"/>
      <c r="AI1017" s="633"/>
      <c r="AJ1017" s="633"/>
      <c r="AK1017" s="633"/>
      <c r="AL1017" s="633"/>
    </row>
    <row r="1018" spans="1:38" ht="11.1" customHeight="1" x14ac:dyDescent="0.25">
      <c r="A1018" s="630" t="s">
        <v>4340</v>
      </c>
      <c r="B1018" s="630"/>
      <c r="C1018" s="630"/>
      <c r="K1018" s="630" t="s">
        <v>852</v>
      </c>
      <c r="L1018" s="630"/>
      <c r="M1018" s="630"/>
      <c r="N1018" s="630"/>
      <c r="O1018" s="630"/>
      <c r="P1018" s="630"/>
      <c r="Q1018" s="627">
        <v>-220382.57</v>
      </c>
      <c r="R1018" s="627"/>
      <c r="T1018" s="631">
        <v>0</v>
      </c>
      <c r="U1018" s="631"/>
      <c r="V1018" s="631"/>
      <c r="Y1018" s="631">
        <v>0</v>
      </c>
      <c r="Z1018" s="631"/>
      <c r="AA1018" s="631"/>
      <c r="AB1018" s="631"/>
      <c r="AC1018" s="631"/>
      <c r="AD1018" s="631"/>
      <c r="AF1018" s="627">
        <v>-220382.57</v>
      </c>
      <c r="AG1018" s="627"/>
      <c r="AH1018" s="627"/>
      <c r="AI1018" s="627"/>
      <c r="AJ1018" s="627"/>
      <c r="AK1018" s="627"/>
      <c r="AL1018" s="627"/>
    </row>
    <row r="1019" spans="1:38" ht="11.1" customHeight="1" x14ac:dyDescent="0.25">
      <c r="A1019" s="630" t="s">
        <v>4341</v>
      </c>
      <c r="B1019" s="630"/>
      <c r="C1019" s="630"/>
      <c r="L1019" s="630" t="s">
        <v>335</v>
      </c>
      <c r="M1019" s="630"/>
      <c r="N1019" s="630"/>
      <c r="O1019" s="630"/>
      <c r="P1019" s="630"/>
      <c r="Q1019" s="627">
        <v>-220382.57</v>
      </c>
      <c r="R1019" s="627"/>
      <c r="T1019" s="631">
        <v>0</v>
      </c>
      <c r="U1019" s="631"/>
      <c r="V1019" s="631"/>
      <c r="Y1019" s="631">
        <v>0</v>
      </c>
      <c r="Z1019" s="631"/>
      <c r="AA1019" s="631"/>
      <c r="AB1019" s="631"/>
      <c r="AC1019" s="631"/>
      <c r="AD1019" s="631"/>
      <c r="AF1019" s="627">
        <v>-220382.57</v>
      </c>
      <c r="AG1019" s="627"/>
      <c r="AH1019" s="627"/>
      <c r="AI1019" s="627"/>
      <c r="AJ1019" s="627"/>
      <c r="AK1019" s="627"/>
      <c r="AL1019" s="627"/>
    </row>
    <row r="1020" spans="1:38" ht="11.1" customHeight="1" x14ac:dyDescent="0.25">
      <c r="A1020" s="630" t="s">
        <v>4342</v>
      </c>
      <c r="B1020" s="630"/>
      <c r="C1020" s="630"/>
      <c r="M1020" s="630" t="s">
        <v>852</v>
      </c>
      <c r="N1020" s="630"/>
      <c r="O1020" s="630"/>
      <c r="P1020" s="630"/>
      <c r="Q1020" s="627">
        <v>-220382.57</v>
      </c>
      <c r="R1020" s="627"/>
      <c r="T1020" s="631">
        <v>0</v>
      </c>
      <c r="U1020" s="631"/>
      <c r="V1020" s="631"/>
      <c r="Y1020" s="631">
        <v>0</v>
      </c>
      <c r="Z1020" s="631"/>
      <c r="AA1020" s="631"/>
      <c r="AB1020" s="631"/>
      <c r="AC1020" s="631"/>
      <c r="AD1020" s="631"/>
      <c r="AF1020" s="627">
        <v>-220382.57</v>
      </c>
      <c r="AG1020" s="627"/>
      <c r="AH1020" s="627"/>
      <c r="AI1020" s="627"/>
      <c r="AJ1020" s="627"/>
      <c r="AK1020" s="627"/>
      <c r="AL1020" s="627"/>
    </row>
    <row r="1021" spans="1:38" ht="11.1" customHeight="1" x14ac:dyDescent="0.25">
      <c r="A1021" s="632" t="s">
        <v>4343</v>
      </c>
      <c r="B1021" s="632"/>
      <c r="C1021" s="632"/>
      <c r="J1021" s="632" t="s">
        <v>892</v>
      </c>
      <c r="K1021" s="632"/>
      <c r="L1021" s="632"/>
      <c r="M1021" s="632"/>
      <c r="N1021" s="632"/>
      <c r="O1021" s="632"/>
      <c r="P1021" s="632"/>
      <c r="Q1021" s="633">
        <v>220382.57</v>
      </c>
      <c r="R1021" s="633"/>
      <c r="T1021" s="634">
        <v>0</v>
      </c>
      <c r="U1021" s="634"/>
      <c r="V1021" s="634"/>
      <c r="Y1021" s="634">
        <v>0</v>
      </c>
      <c r="Z1021" s="634"/>
      <c r="AA1021" s="634"/>
      <c r="AB1021" s="634"/>
      <c r="AC1021" s="634"/>
      <c r="AD1021" s="634"/>
      <c r="AF1021" s="633">
        <v>220382.57</v>
      </c>
      <c r="AG1021" s="633"/>
      <c r="AH1021" s="633"/>
      <c r="AI1021" s="633"/>
      <c r="AJ1021" s="633"/>
      <c r="AK1021" s="633"/>
      <c r="AL1021" s="633"/>
    </row>
    <row r="1022" spans="1:38" ht="11.1" customHeight="1" x14ac:dyDescent="0.25">
      <c r="A1022" s="630" t="s">
        <v>4344</v>
      </c>
      <c r="B1022" s="630"/>
      <c r="C1022" s="630"/>
      <c r="K1022" s="630" t="s">
        <v>852</v>
      </c>
      <c r="L1022" s="630"/>
      <c r="M1022" s="630"/>
      <c r="N1022" s="630"/>
      <c r="O1022" s="630"/>
      <c r="P1022" s="630"/>
      <c r="Q1022" s="627">
        <v>220382.57</v>
      </c>
      <c r="R1022" s="627"/>
      <c r="T1022" s="631">
        <v>0</v>
      </c>
      <c r="U1022" s="631"/>
      <c r="V1022" s="631"/>
      <c r="Y1022" s="631">
        <v>0</v>
      </c>
      <c r="Z1022" s="631"/>
      <c r="AA1022" s="631"/>
      <c r="AB1022" s="631"/>
      <c r="AC1022" s="631"/>
      <c r="AD1022" s="631"/>
      <c r="AF1022" s="627">
        <v>220382.57</v>
      </c>
      <c r="AG1022" s="627"/>
      <c r="AH1022" s="627"/>
      <c r="AI1022" s="627"/>
      <c r="AJ1022" s="627"/>
      <c r="AK1022" s="627"/>
      <c r="AL1022" s="627"/>
    </row>
    <row r="1023" spans="1:38" ht="11.1" customHeight="1" x14ac:dyDescent="0.25">
      <c r="A1023" s="630" t="s">
        <v>4345</v>
      </c>
      <c r="B1023" s="630"/>
      <c r="C1023" s="630"/>
      <c r="L1023" s="630" t="s">
        <v>335</v>
      </c>
      <c r="M1023" s="630"/>
      <c r="N1023" s="630"/>
      <c r="O1023" s="630"/>
      <c r="P1023" s="630"/>
      <c r="Q1023" s="627">
        <v>220382.57</v>
      </c>
      <c r="R1023" s="627"/>
      <c r="T1023" s="631">
        <v>0</v>
      </c>
      <c r="U1023" s="631"/>
      <c r="V1023" s="631"/>
      <c r="Y1023" s="631">
        <v>0</v>
      </c>
      <c r="Z1023" s="631"/>
      <c r="AA1023" s="631"/>
      <c r="AB1023" s="631"/>
      <c r="AC1023" s="631"/>
      <c r="AD1023" s="631"/>
      <c r="AF1023" s="627">
        <v>220382.57</v>
      </c>
      <c r="AG1023" s="627"/>
      <c r="AH1023" s="627"/>
      <c r="AI1023" s="627"/>
      <c r="AJ1023" s="627"/>
      <c r="AK1023" s="627"/>
      <c r="AL1023" s="627"/>
    </row>
    <row r="1024" spans="1:38" ht="11.1" customHeight="1" x14ac:dyDescent="0.25">
      <c r="A1024" s="630" t="s">
        <v>4346</v>
      </c>
      <c r="B1024" s="630"/>
      <c r="C1024" s="630"/>
      <c r="M1024" s="630" t="s">
        <v>852</v>
      </c>
      <c r="N1024" s="630"/>
      <c r="O1024" s="630"/>
      <c r="P1024" s="630"/>
      <c r="Q1024" s="627">
        <v>220382.57</v>
      </c>
      <c r="R1024" s="627"/>
      <c r="T1024" s="631">
        <v>0</v>
      </c>
      <c r="U1024" s="631"/>
      <c r="V1024" s="631"/>
      <c r="Y1024" s="631">
        <v>0</v>
      </c>
      <c r="Z1024" s="631"/>
      <c r="AA1024" s="631"/>
      <c r="AB1024" s="631"/>
      <c r="AC1024" s="631"/>
      <c r="AD1024" s="631"/>
      <c r="AF1024" s="627">
        <v>220382.57</v>
      </c>
      <c r="AG1024" s="627"/>
      <c r="AH1024" s="627"/>
      <c r="AI1024" s="627"/>
      <c r="AJ1024" s="627"/>
      <c r="AK1024" s="627"/>
      <c r="AL1024" s="627"/>
    </row>
    <row r="1025" spans="1:38" ht="11.1" customHeight="1" x14ac:dyDescent="0.25">
      <c r="A1025" s="632" t="s">
        <v>4347</v>
      </c>
      <c r="B1025" s="632"/>
      <c r="C1025" s="632"/>
      <c r="H1025" s="632" t="s">
        <v>1471</v>
      </c>
      <c r="I1025" s="632"/>
      <c r="J1025" s="632"/>
      <c r="K1025" s="632"/>
      <c r="L1025" s="632"/>
      <c r="M1025" s="632"/>
      <c r="N1025" s="632"/>
      <c r="O1025" s="632"/>
      <c r="P1025" s="632"/>
      <c r="Q1025" s="633">
        <v>-1738356.48</v>
      </c>
      <c r="R1025" s="633"/>
      <c r="T1025" s="634">
        <v>19174085.640000001</v>
      </c>
      <c r="U1025" s="634"/>
      <c r="V1025" s="634"/>
      <c r="Y1025" s="634">
        <v>42537273.609999999</v>
      </c>
      <c r="Z1025" s="634"/>
      <c r="AA1025" s="634"/>
      <c r="AB1025" s="634"/>
      <c r="AC1025" s="634"/>
      <c r="AD1025" s="634"/>
      <c r="AF1025" s="633">
        <v>-25101544.449999999</v>
      </c>
      <c r="AG1025" s="633"/>
      <c r="AH1025" s="633"/>
      <c r="AI1025" s="633"/>
      <c r="AJ1025" s="633"/>
      <c r="AK1025" s="633"/>
      <c r="AL1025" s="633"/>
    </row>
    <row r="1026" spans="1:38" ht="11.1" customHeight="1" x14ac:dyDescent="0.25">
      <c r="A1026" s="632" t="s">
        <v>4348</v>
      </c>
      <c r="B1026" s="632"/>
      <c r="C1026" s="632"/>
      <c r="H1026" s="632" t="s">
        <v>1473</v>
      </c>
      <c r="I1026" s="632"/>
      <c r="J1026" s="632"/>
      <c r="K1026" s="632"/>
      <c r="L1026" s="632"/>
      <c r="M1026" s="632"/>
      <c r="N1026" s="632"/>
      <c r="O1026" s="632"/>
      <c r="P1026" s="632"/>
      <c r="Q1026" s="633">
        <v>-58643653.969999999</v>
      </c>
      <c r="R1026" s="633"/>
      <c r="T1026" s="634">
        <v>17830660.600000001</v>
      </c>
      <c r="U1026" s="634"/>
      <c r="V1026" s="634"/>
      <c r="Y1026" s="634">
        <v>24719153.280000001</v>
      </c>
      <c r="Z1026" s="634"/>
      <c r="AA1026" s="634"/>
      <c r="AB1026" s="634"/>
      <c r="AC1026" s="634"/>
      <c r="AD1026" s="634"/>
      <c r="AF1026" s="633">
        <v>-65532146.649999999</v>
      </c>
      <c r="AG1026" s="633"/>
      <c r="AH1026" s="633"/>
      <c r="AI1026" s="633"/>
      <c r="AJ1026" s="633"/>
      <c r="AK1026" s="633"/>
      <c r="AL1026" s="633"/>
    </row>
    <row r="1027" spans="1:38" s="93" customFormat="1" ht="11.1" customHeight="1" x14ac:dyDescent="0.25">
      <c r="A1027" s="635" t="s">
        <v>4349</v>
      </c>
      <c r="B1027" s="635"/>
      <c r="C1027" s="635"/>
      <c r="H1027" s="635" t="s">
        <v>1475</v>
      </c>
      <c r="I1027" s="635"/>
      <c r="J1027" s="635"/>
      <c r="K1027" s="635"/>
      <c r="L1027" s="635"/>
      <c r="M1027" s="635"/>
      <c r="N1027" s="635"/>
      <c r="O1027" s="635"/>
      <c r="P1027" s="635"/>
      <c r="Q1027" s="636">
        <v>-105248100.87</v>
      </c>
      <c r="R1027" s="636"/>
      <c r="T1027" s="637">
        <v>5225750.78</v>
      </c>
      <c r="U1027" s="637"/>
      <c r="V1027" s="637"/>
      <c r="Y1027" s="637">
        <v>18996411.829999998</v>
      </c>
      <c r="Z1027" s="637"/>
      <c r="AA1027" s="637"/>
      <c r="AB1027" s="637"/>
      <c r="AC1027" s="637"/>
      <c r="AD1027" s="637"/>
      <c r="AF1027" s="636">
        <v>-119018761.92</v>
      </c>
      <c r="AG1027" s="636"/>
      <c r="AH1027" s="636"/>
      <c r="AI1027" s="636"/>
      <c r="AJ1027" s="636"/>
      <c r="AK1027" s="636"/>
      <c r="AL1027" s="636"/>
    </row>
    <row r="1028" spans="1:38" ht="11.1" customHeight="1" x14ac:dyDescent="0.25">
      <c r="A1028" s="632" t="s">
        <v>4350</v>
      </c>
      <c r="B1028" s="632"/>
      <c r="C1028" s="632"/>
      <c r="I1028" s="632" t="s">
        <v>581</v>
      </c>
      <c r="J1028" s="632"/>
      <c r="K1028" s="632"/>
      <c r="L1028" s="632"/>
      <c r="M1028" s="632"/>
      <c r="N1028" s="632"/>
      <c r="O1028" s="632"/>
      <c r="P1028" s="632"/>
      <c r="Q1028" s="633">
        <v>-51681074.609999999</v>
      </c>
      <c r="R1028" s="633"/>
      <c r="T1028" s="634">
        <v>616839.13</v>
      </c>
      <c r="U1028" s="634"/>
      <c r="V1028" s="634"/>
      <c r="Y1028" s="634">
        <v>5405943.9400000004</v>
      </c>
      <c r="Z1028" s="634"/>
      <c r="AA1028" s="634"/>
      <c r="AB1028" s="634"/>
      <c r="AC1028" s="634"/>
      <c r="AD1028" s="634"/>
      <c r="AF1028" s="633">
        <v>-56470179.420000002</v>
      </c>
      <c r="AG1028" s="633"/>
      <c r="AH1028" s="633"/>
      <c r="AI1028" s="633"/>
      <c r="AJ1028" s="633"/>
      <c r="AK1028" s="633"/>
      <c r="AL1028" s="633"/>
    </row>
    <row r="1029" spans="1:38" ht="11.1" customHeight="1" x14ac:dyDescent="0.25">
      <c r="A1029" s="632" t="s">
        <v>4351</v>
      </c>
      <c r="B1029" s="632"/>
      <c r="C1029" s="632"/>
      <c r="J1029" s="632" t="s">
        <v>1478</v>
      </c>
      <c r="K1029" s="632"/>
      <c r="L1029" s="632"/>
      <c r="M1029" s="632"/>
      <c r="N1029" s="632"/>
      <c r="O1029" s="632"/>
      <c r="P1029" s="632"/>
      <c r="Q1029" s="633">
        <v>-57951518.799999997</v>
      </c>
      <c r="R1029" s="633"/>
      <c r="T1029" s="634">
        <v>0</v>
      </c>
      <c r="U1029" s="634"/>
      <c r="V1029" s="634"/>
      <c r="Y1029" s="634">
        <v>5405943.9199999999</v>
      </c>
      <c r="Z1029" s="634"/>
      <c r="AA1029" s="634"/>
      <c r="AB1029" s="634"/>
      <c r="AC1029" s="634"/>
      <c r="AD1029" s="634"/>
      <c r="AF1029" s="633">
        <v>-63357462.719999999</v>
      </c>
      <c r="AG1029" s="633"/>
      <c r="AH1029" s="633"/>
      <c r="AI1029" s="633"/>
      <c r="AJ1029" s="633"/>
      <c r="AK1029" s="633"/>
      <c r="AL1029" s="633"/>
    </row>
    <row r="1030" spans="1:38" ht="11.1" customHeight="1" x14ac:dyDescent="0.25">
      <c r="A1030" s="630" t="s">
        <v>4352</v>
      </c>
      <c r="B1030" s="630"/>
      <c r="C1030" s="630"/>
      <c r="K1030" s="630" t="s">
        <v>1480</v>
      </c>
      <c r="L1030" s="630"/>
      <c r="M1030" s="630"/>
      <c r="N1030" s="630"/>
      <c r="O1030" s="630"/>
      <c r="P1030" s="630"/>
      <c r="Q1030" s="627">
        <v>-57951518.799999997</v>
      </c>
      <c r="R1030" s="627"/>
      <c r="T1030" s="631">
        <v>0</v>
      </c>
      <c r="U1030" s="631"/>
      <c r="V1030" s="631"/>
      <c r="Y1030" s="631">
        <v>5405943.9199999999</v>
      </c>
      <c r="Z1030" s="631"/>
      <c r="AA1030" s="631"/>
      <c r="AB1030" s="631"/>
      <c r="AC1030" s="631"/>
      <c r="AD1030" s="631"/>
      <c r="AF1030" s="627">
        <v>-63357462.719999999</v>
      </c>
      <c r="AG1030" s="627"/>
      <c r="AH1030" s="627"/>
      <c r="AI1030" s="627"/>
      <c r="AJ1030" s="627"/>
      <c r="AK1030" s="627"/>
      <c r="AL1030" s="627"/>
    </row>
    <row r="1031" spans="1:38" ht="11.1" customHeight="1" x14ac:dyDescent="0.25">
      <c r="A1031" s="630" t="s">
        <v>4353</v>
      </c>
      <c r="B1031" s="630"/>
      <c r="C1031" s="630"/>
      <c r="M1031" s="630" t="s">
        <v>1482</v>
      </c>
      <c r="N1031" s="630"/>
      <c r="O1031" s="630"/>
      <c r="P1031" s="630"/>
      <c r="Q1031" s="627">
        <v>-5105905.8600000003</v>
      </c>
      <c r="R1031" s="627"/>
      <c r="T1031" s="631">
        <v>0</v>
      </c>
      <c r="U1031" s="631"/>
      <c r="V1031" s="631"/>
      <c r="Y1031" s="631">
        <v>509134.62</v>
      </c>
      <c r="Z1031" s="631"/>
      <c r="AA1031" s="631"/>
      <c r="AB1031" s="631"/>
      <c r="AC1031" s="631"/>
      <c r="AD1031" s="631"/>
      <c r="AF1031" s="627">
        <v>-5615040.4800000004</v>
      </c>
      <c r="AG1031" s="627"/>
      <c r="AH1031" s="627"/>
      <c r="AI1031" s="627"/>
      <c r="AJ1031" s="627"/>
      <c r="AK1031" s="627"/>
      <c r="AL1031" s="627"/>
    </row>
    <row r="1032" spans="1:38" ht="11.1" customHeight="1" x14ac:dyDescent="0.25">
      <c r="A1032" s="630" t="s">
        <v>4354</v>
      </c>
      <c r="B1032" s="630"/>
      <c r="C1032" s="630"/>
      <c r="L1032" s="630" t="s">
        <v>586</v>
      </c>
      <c r="M1032" s="630"/>
      <c r="N1032" s="630"/>
      <c r="O1032" s="630"/>
      <c r="P1032" s="630"/>
      <c r="Q1032" s="627">
        <v>-9303314.1400000006</v>
      </c>
      <c r="R1032" s="627"/>
      <c r="T1032" s="631">
        <v>0</v>
      </c>
      <c r="U1032" s="631"/>
      <c r="V1032" s="631"/>
      <c r="Y1032" s="631">
        <v>715446.77</v>
      </c>
      <c r="Z1032" s="631"/>
      <c r="AA1032" s="631"/>
      <c r="AB1032" s="631"/>
      <c r="AC1032" s="631"/>
      <c r="AD1032" s="631"/>
      <c r="AF1032" s="627">
        <v>-10018760.91</v>
      </c>
      <c r="AG1032" s="627"/>
      <c r="AH1032" s="627"/>
      <c r="AI1032" s="627"/>
      <c r="AJ1032" s="627"/>
      <c r="AK1032" s="627"/>
      <c r="AL1032" s="627"/>
    </row>
    <row r="1033" spans="1:38" ht="11.1" customHeight="1" x14ac:dyDescent="0.25">
      <c r="A1033" s="630" t="s">
        <v>4355</v>
      </c>
      <c r="B1033" s="630"/>
      <c r="C1033" s="630"/>
      <c r="M1033" s="630" t="s">
        <v>1485</v>
      </c>
      <c r="N1033" s="630"/>
      <c r="O1033" s="630"/>
      <c r="P1033" s="630"/>
      <c r="Q1033" s="627">
        <v>-9303314.1400000006</v>
      </c>
      <c r="R1033" s="627"/>
      <c r="T1033" s="631">
        <v>0</v>
      </c>
      <c r="U1033" s="631"/>
      <c r="V1033" s="631"/>
      <c r="Y1033" s="631">
        <v>715446.77</v>
      </c>
      <c r="Z1033" s="631"/>
      <c r="AA1033" s="631"/>
      <c r="AB1033" s="631"/>
      <c r="AC1033" s="631"/>
      <c r="AD1033" s="631"/>
      <c r="AF1033" s="627">
        <v>-10018760.91</v>
      </c>
      <c r="AG1033" s="627"/>
      <c r="AH1033" s="627"/>
      <c r="AI1033" s="627"/>
      <c r="AJ1033" s="627"/>
      <c r="AK1033" s="627"/>
      <c r="AL1033" s="627"/>
    </row>
    <row r="1034" spans="1:38" ht="11.1" customHeight="1" x14ac:dyDescent="0.25">
      <c r="A1034" s="630" t="s">
        <v>4356</v>
      </c>
      <c r="B1034" s="630"/>
      <c r="C1034" s="630"/>
      <c r="L1034" s="630" t="s">
        <v>302</v>
      </c>
      <c r="M1034" s="630"/>
      <c r="N1034" s="630"/>
      <c r="O1034" s="630"/>
      <c r="P1034" s="630"/>
      <c r="Q1034" s="627">
        <v>-43542298.799999997</v>
      </c>
      <c r="R1034" s="627"/>
      <c r="T1034" s="631">
        <v>0</v>
      </c>
      <c r="U1034" s="631"/>
      <c r="V1034" s="631"/>
      <c r="Y1034" s="631">
        <v>4181362.53</v>
      </c>
      <c r="Z1034" s="631"/>
      <c r="AA1034" s="631"/>
      <c r="AB1034" s="631"/>
      <c r="AC1034" s="631"/>
      <c r="AD1034" s="631"/>
      <c r="AF1034" s="627">
        <v>-47723661.329999998</v>
      </c>
      <c r="AG1034" s="627"/>
      <c r="AH1034" s="627"/>
      <c r="AI1034" s="627"/>
      <c r="AJ1034" s="627"/>
      <c r="AK1034" s="627"/>
      <c r="AL1034" s="627"/>
    </row>
    <row r="1035" spans="1:38" ht="11.1" customHeight="1" x14ac:dyDescent="0.25">
      <c r="A1035" s="630" t="s">
        <v>4357</v>
      </c>
      <c r="B1035" s="630"/>
      <c r="C1035" s="630"/>
      <c r="M1035" s="630" t="s">
        <v>1488</v>
      </c>
      <c r="N1035" s="630"/>
      <c r="O1035" s="630"/>
      <c r="P1035" s="630"/>
      <c r="Q1035" s="627">
        <v>-43542298.799999997</v>
      </c>
      <c r="R1035" s="627"/>
      <c r="T1035" s="631">
        <v>0</v>
      </c>
      <c r="U1035" s="631"/>
      <c r="V1035" s="631"/>
      <c r="Y1035" s="631">
        <v>4181362.53</v>
      </c>
      <c r="Z1035" s="631"/>
      <c r="AA1035" s="631"/>
      <c r="AB1035" s="631"/>
      <c r="AC1035" s="631"/>
      <c r="AD1035" s="631"/>
      <c r="AF1035" s="627">
        <v>-47723661.329999998</v>
      </c>
      <c r="AG1035" s="627"/>
      <c r="AH1035" s="627"/>
      <c r="AI1035" s="627"/>
      <c r="AJ1035" s="627"/>
      <c r="AK1035" s="627"/>
      <c r="AL1035" s="627"/>
    </row>
    <row r="1036" spans="1:38" ht="11.1" customHeight="1" x14ac:dyDescent="0.25">
      <c r="A1036" s="632" t="s">
        <v>4358</v>
      </c>
      <c r="B1036" s="632"/>
      <c r="C1036" s="632"/>
      <c r="J1036" s="632" t="s">
        <v>1490</v>
      </c>
      <c r="K1036" s="632"/>
      <c r="L1036" s="632"/>
      <c r="M1036" s="632"/>
      <c r="N1036" s="632"/>
      <c r="O1036" s="632"/>
      <c r="P1036" s="632"/>
      <c r="Q1036" s="633">
        <v>5388557.5899999999</v>
      </c>
      <c r="R1036" s="633"/>
      <c r="T1036" s="634">
        <v>502391.68</v>
      </c>
      <c r="U1036" s="634"/>
      <c r="V1036" s="634"/>
      <c r="Y1036" s="634">
        <v>0</v>
      </c>
      <c r="Z1036" s="634"/>
      <c r="AA1036" s="634"/>
      <c r="AB1036" s="634"/>
      <c r="AC1036" s="634"/>
      <c r="AD1036" s="634"/>
      <c r="AF1036" s="633">
        <v>5890949.2699999996</v>
      </c>
      <c r="AG1036" s="633"/>
      <c r="AH1036" s="633"/>
      <c r="AI1036" s="633"/>
      <c r="AJ1036" s="633"/>
      <c r="AK1036" s="633"/>
      <c r="AL1036" s="633"/>
    </row>
    <row r="1037" spans="1:38" ht="11.1" customHeight="1" x14ac:dyDescent="0.25">
      <c r="A1037" s="630" t="s">
        <v>4359</v>
      </c>
      <c r="B1037" s="630"/>
      <c r="C1037" s="630"/>
      <c r="K1037" s="630" t="s">
        <v>445</v>
      </c>
      <c r="L1037" s="630"/>
      <c r="M1037" s="630"/>
      <c r="N1037" s="630"/>
      <c r="O1037" s="630"/>
      <c r="P1037" s="630"/>
      <c r="Q1037" s="627">
        <v>955690.21</v>
      </c>
      <c r="R1037" s="627"/>
      <c r="T1037" s="631">
        <v>89163.13</v>
      </c>
      <c r="U1037" s="631"/>
      <c r="V1037" s="631"/>
      <c r="Y1037" s="631">
        <v>0</v>
      </c>
      <c r="Z1037" s="631"/>
      <c r="AA1037" s="631"/>
      <c r="AB1037" s="631"/>
      <c r="AC1037" s="631"/>
      <c r="AD1037" s="631"/>
      <c r="AF1037" s="627">
        <v>1044853.34</v>
      </c>
      <c r="AG1037" s="627"/>
      <c r="AH1037" s="627"/>
      <c r="AI1037" s="627"/>
      <c r="AJ1037" s="627"/>
      <c r="AK1037" s="627"/>
      <c r="AL1037" s="627"/>
    </row>
    <row r="1038" spans="1:38" ht="11.1" customHeight="1" x14ac:dyDescent="0.25">
      <c r="A1038" s="630" t="s">
        <v>4360</v>
      </c>
      <c r="B1038" s="630"/>
      <c r="C1038" s="630"/>
      <c r="L1038" s="630" t="s">
        <v>586</v>
      </c>
      <c r="M1038" s="630"/>
      <c r="N1038" s="630"/>
      <c r="O1038" s="630"/>
      <c r="P1038" s="630"/>
      <c r="Q1038" s="627">
        <v>153504.68</v>
      </c>
      <c r="R1038" s="627"/>
      <c r="T1038" s="631">
        <v>11811.8</v>
      </c>
      <c r="U1038" s="631"/>
      <c r="V1038" s="631"/>
      <c r="Y1038" s="631">
        <v>0</v>
      </c>
      <c r="Z1038" s="631"/>
      <c r="AA1038" s="631"/>
      <c r="AB1038" s="631"/>
      <c r="AC1038" s="631"/>
      <c r="AD1038" s="631"/>
      <c r="AF1038" s="627">
        <v>165316.48000000001</v>
      </c>
      <c r="AG1038" s="627"/>
      <c r="AH1038" s="627"/>
      <c r="AI1038" s="627"/>
      <c r="AJ1038" s="627"/>
      <c r="AK1038" s="627"/>
      <c r="AL1038" s="627"/>
    </row>
    <row r="1039" spans="1:38" ht="11.1" customHeight="1" x14ac:dyDescent="0.25">
      <c r="A1039" s="630" t="s">
        <v>4361</v>
      </c>
      <c r="B1039" s="630"/>
      <c r="C1039" s="630"/>
      <c r="M1039" s="630" t="s">
        <v>445</v>
      </c>
      <c r="N1039" s="630"/>
      <c r="O1039" s="630"/>
      <c r="P1039" s="630"/>
      <c r="Q1039" s="627">
        <v>153504.68</v>
      </c>
      <c r="R1039" s="627"/>
      <c r="T1039" s="631">
        <v>11811.8</v>
      </c>
      <c r="U1039" s="631"/>
      <c r="V1039" s="631"/>
      <c r="Y1039" s="631">
        <v>0</v>
      </c>
      <c r="Z1039" s="631"/>
      <c r="AA1039" s="631"/>
      <c r="AB1039" s="631"/>
      <c r="AC1039" s="631"/>
      <c r="AD1039" s="631"/>
      <c r="AF1039" s="627">
        <v>165316.48000000001</v>
      </c>
      <c r="AG1039" s="627"/>
      <c r="AH1039" s="627"/>
      <c r="AI1039" s="627"/>
      <c r="AJ1039" s="627"/>
      <c r="AK1039" s="627"/>
      <c r="AL1039" s="627"/>
    </row>
    <row r="1040" spans="1:38" ht="11.1" customHeight="1" x14ac:dyDescent="0.25">
      <c r="A1040" s="630" t="s">
        <v>4362</v>
      </c>
      <c r="B1040" s="630"/>
      <c r="C1040" s="630"/>
      <c r="L1040" s="630" t="s">
        <v>1495</v>
      </c>
      <c r="M1040" s="630"/>
      <c r="N1040" s="630"/>
      <c r="O1040" s="630"/>
      <c r="P1040" s="630"/>
      <c r="Q1040" s="627">
        <v>718447.94</v>
      </c>
      <c r="R1040" s="627"/>
      <c r="T1040" s="631">
        <v>68992.479999999996</v>
      </c>
      <c r="U1040" s="631"/>
      <c r="V1040" s="631"/>
      <c r="Y1040" s="631">
        <v>0</v>
      </c>
      <c r="Z1040" s="631"/>
      <c r="AA1040" s="631"/>
      <c r="AB1040" s="631"/>
      <c r="AC1040" s="631"/>
      <c r="AD1040" s="631"/>
      <c r="AF1040" s="627">
        <v>787440.42</v>
      </c>
      <c r="AG1040" s="627"/>
      <c r="AH1040" s="627"/>
      <c r="AI1040" s="627"/>
      <c r="AJ1040" s="627"/>
      <c r="AK1040" s="627"/>
      <c r="AL1040" s="627"/>
    </row>
    <row r="1041" spans="1:38" ht="11.1" customHeight="1" x14ac:dyDescent="0.25">
      <c r="A1041" s="630" t="s">
        <v>4363</v>
      </c>
      <c r="B1041" s="630"/>
      <c r="C1041" s="630"/>
      <c r="M1041" s="630" t="s">
        <v>445</v>
      </c>
      <c r="N1041" s="630"/>
      <c r="O1041" s="630"/>
      <c r="P1041" s="630"/>
      <c r="Q1041" s="627">
        <v>718447.94</v>
      </c>
      <c r="R1041" s="627"/>
      <c r="T1041" s="631">
        <v>68992.479999999996</v>
      </c>
      <c r="U1041" s="631"/>
      <c r="V1041" s="631"/>
      <c r="Y1041" s="631">
        <v>0</v>
      </c>
      <c r="Z1041" s="631"/>
      <c r="AA1041" s="631"/>
      <c r="AB1041" s="631"/>
      <c r="AC1041" s="631"/>
      <c r="AD1041" s="631"/>
      <c r="AF1041" s="627">
        <v>787440.42</v>
      </c>
      <c r="AG1041" s="627"/>
      <c r="AH1041" s="627"/>
      <c r="AI1041" s="627"/>
      <c r="AJ1041" s="627"/>
      <c r="AK1041" s="627"/>
      <c r="AL1041" s="627"/>
    </row>
    <row r="1042" spans="1:38" ht="11.1" customHeight="1" x14ac:dyDescent="0.25">
      <c r="A1042" s="630" t="s">
        <v>4364</v>
      </c>
      <c r="B1042" s="630"/>
      <c r="C1042" s="630"/>
      <c r="L1042" s="630" t="s">
        <v>706</v>
      </c>
      <c r="M1042" s="630"/>
      <c r="N1042" s="630"/>
      <c r="O1042" s="630"/>
      <c r="P1042" s="630"/>
      <c r="Q1042" s="627">
        <v>83737.59</v>
      </c>
      <c r="R1042" s="627"/>
      <c r="T1042" s="631">
        <v>8358.85</v>
      </c>
      <c r="U1042" s="631"/>
      <c r="V1042" s="631"/>
      <c r="Y1042" s="631">
        <v>0</v>
      </c>
      <c r="Z1042" s="631"/>
      <c r="AA1042" s="631"/>
      <c r="AB1042" s="631"/>
      <c r="AC1042" s="631"/>
      <c r="AD1042" s="631"/>
      <c r="AF1042" s="627">
        <v>92096.44</v>
      </c>
      <c r="AG1042" s="627"/>
      <c r="AH1042" s="627"/>
      <c r="AI1042" s="627"/>
      <c r="AJ1042" s="627"/>
      <c r="AK1042" s="627"/>
      <c r="AL1042" s="627"/>
    </row>
    <row r="1043" spans="1:38" ht="11.1" customHeight="1" x14ac:dyDescent="0.25">
      <c r="A1043" s="630" t="s">
        <v>4365</v>
      </c>
      <c r="B1043" s="630"/>
      <c r="C1043" s="630"/>
      <c r="M1043" s="630" t="s">
        <v>445</v>
      </c>
      <c r="N1043" s="630"/>
      <c r="O1043" s="630"/>
      <c r="P1043" s="630"/>
      <c r="Q1043" s="627">
        <v>83737.59</v>
      </c>
      <c r="R1043" s="627"/>
      <c r="T1043" s="631">
        <v>8358.85</v>
      </c>
      <c r="U1043" s="631"/>
      <c r="V1043" s="631"/>
      <c r="Y1043" s="631">
        <v>0</v>
      </c>
      <c r="Z1043" s="631"/>
      <c r="AA1043" s="631"/>
      <c r="AB1043" s="631"/>
      <c r="AC1043" s="631"/>
      <c r="AD1043" s="631"/>
      <c r="AF1043" s="627">
        <v>92096.44</v>
      </c>
      <c r="AG1043" s="627"/>
      <c r="AH1043" s="627"/>
      <c r="AI1043" s="627"/>
      <c r="AJ1043" s="627"/>
      <c r="AK1043" s="627"/>
      <c r="AL1043" s="627"/>
    </row>
    <row r="1044" spans="1:38" ht="11.1" customHeight="1" x14ac:dyDescent="0.25">
      <c r="A1044" s="630" t="s">
        <v>4366</v>
      </c>
      <c r="B1044" s="630"/>
      <c r="C1044" s="630"/>
      <c r="K1044" s="630" t="s">
        <v>216</v>
      </c>
      <c r="L1044" s="630"/>
      <c r="M1044" s="630"/>
      <c r="N1044" s="630"/>
      <c r="O1044" s="630"/>
      <c r="P1044" s="630"/>
      <c r="Q1044" s="627">
        <v>4401966.97</v>
      </c>
      <c r="R1044" s="627"/>
      <c r="T1044" s="631">
        <v>410690.77</v>
      </c>
      <c r="U1044" s="631"/>
      <c r="V1044" s="631"/>
      <c r="Y1044" s="631">
        <v>0</v>
      </c>
      <c r="Z1044" s="631"/>
      <c r="AA1044" s="631"/>
      <c r="AB1044" s="631"/>
      <c r="AC1044" s="631"/>
      <c r="AD1044" s="631"/>
      <c r="AF1044" s="627">
        <v>4812657.74</v>
      </c>
      <c r="AG1044" s="627"/>
      <c r="AH1044" s="627"/>
      <c r="AI1044" s="627"/>
      <c r="AJ1044" s="627"/>
      <c r="AK1044" s="627"/>
      <c r="AL1044" s="627"/>
    </row>
    <row r="1045" spans="1:38" ht="11.1" customHeight="1" x14ac:dyDescent="0.25">
      <c r="A1045" s="630" t="s">
        <v>4367</v>
      </c>
      <c r="B1045" s="630"/>
      <c r="C1045" s="630"/>
      <c r="L1045" s="630" t="s">
        <v>586</v>
      </c>
      <c r="M1045" s="630"/>
      <c r="N1045" s="630"/>
      <c r="O1045" s="630"/>
      <c r="P1045" s="630"/>
      <c r="Q1045" s="627">
        <v>707051.85</v>
      </c>
      <c r="R1045" s="627"/>
      <c r="T1045" s="631">
        <v>54405.86</v>
      </c>
      <c r="U1045" s="631"/>
      <c r="V1045" s="631"/>
      <c r="Y1045" s="631">
        <v>0</v>
      </c>
      <c r="Z1045" s="631"/>
      <c r="AA1045" s="631"/>
      <c r="AB1045" s="631"/>
      <c r="AC1045" s="631"/>
      <c r="AD1045" s="631"/>
      <c r="AF1045" s="627">
        <v>761457.71</v>
      </c>
      <c r="AG1045" s="627"/>
      <c r="AH1045" s="627"/>
      <c r="AI1045" s="627"/>
      <c r="AJ1045" s="627"/>
      <c r="AK1045" s="627"/>
      <c r="AL1045" s="627"/>
    </row>
    <row r="1046" spans="1:38" ht="11.1" customHeight="1" x14ac:dyDescent="0.25">
      <c r="A1046" s="630" t="s">
        <v>4368</v>
      </c>
      <c r="B1046" s="630"/>
      <c r="C1046" s="630"/>
      <c r="M1046" s="630" t="s">
        <v>216</v>
      </c>
      <c r="N1046" s="630"/>
      <c r="O1046" s="630"/>
      <c r="P1046" s="630"/>
      <c r="Q1046" s="627">
        <v>707051.85</v>
      </c>
      <c r="R1046" s="627"/>
      <c r="T1046" s="631">
        <v>54405.86</v>
      </c>
      <c r="U1046" s="631"/>
      <c r="V1046" s="631"/>
      <c r="Y1046" s="631">
        <v>0</v>
      </c>
      <c r="Z1046" s="631"/>
      <c r="AA1046" s="631"/>
      <c r="AB1046" s="631"/>
      <c r="AC1046" s="631"/>
      <c r="AD1046" s="631"/>
      <c r="AF1046" s="627">
        <v>761457.71</v>
      </c>
      <c r="AG1046" s="627"/>
      <c r="AH1046" s="627"/>
      <c r="AI1046" s="627"/>
      <c r="AJ1046" s="627"/>
      <c r="AK1046" s="627"/>
      <c r="AL1046" s="627"/>
    </row>
    <row r="1047" spans="1:38" ht="11.1" customHeight="1" x14ac:dyDescent="0.25">
      <c r="A1047" s="630" t="s">
        <v>4369</v>
      </c>
      <c r="B1047" s="630"/>
      <c r="C1047" s="630"/>
      <c r="L1047" s="630" t="s">
        <v>1495</v>
      </c>
      <c r="M1047" s="630"/>
      <c r="N1047" s="630"/>
      <c r="O1047" s="630"/>
      <c r="P1047" s="630"/>
      <c r="Q1047" s="627">
        <v>3309214.71</v>
      </c>
      <c r="R1047" s="627"/>
      <c r="T1047" s="631">
        <v>317783.55</v>
      </c>
      <c r="U1047" s="631"/>
      <c r="V1047" s="631"/>
      <c r="Y1047" s="631">
        <v>0</v>
      </c>
      <c r="Z1047" s="631"/>
      <c r="AA1047" s="631"/>
      <c r="AB1047" s="631"/>
      <c r="AC1047" s="631"/>
      <c r="AD1047" s="631"/>
      <c r="AF1047" s="627">
        <v>3626998.26</v>
      </c>
      <c r="AG1047" s="627"/>
      <c r="AH1047" s="627"/>
      <c r="AI1047" s="627"/>
      <c r="AJ1047" s="627"/>
      <c r="AK1047" s="627"/>
      <c r="AL1047" s="627"/>
    </row>
    <row r="1048" spans="1:38" ht="11.1" customHeight="1" x14ac:dyDescent="0.25">
      <c r="A1048" s="630" t="s">
        <v>4370</v>
      </c>
      <c r="B1048" s="630"/>
      <c r="C1048" s="630"/>
      <c r="M1048" s="630" t="s">
        <v>216</v>
      </c>
      <c r="N1048" s="630"/>
      <c r="O1048" s="630"/>
      <c r="P1048" s="630"/>
      <c r="Q1048" s="627">
        <v>3309214.71</v>
      </c>
      <c r="R1048" s="627"/>
      <c r="T1048" s="631">
        <v>317783.55</v>
      </c>
      <c r="U1048" s="631"/>
      <c r="V1048" s="631"/>
      <c r="Y1048" s="631">
        <v>0</v>
      </c>
      <c r="Z1048" s="631"/>
      <c r="AA1048" s="631"/>
      <c r="AB1048" s="631"/>
      <c r="AC1048" s="631"/>
      <c r="AD1048" s="631"/>
      <c r="AF1048" s="627">
        <v>3626998.26</v>
      </c>
      <c r="AG1048" s="627"/>
      <c r="AH1048" s="627"/>
      <c r="AI1048" s="627"/>
      <c r="AJ1048" s="627"/>
      <c r="AK1048" s="627"/>
      <c r="AL1048" s="627"/>
    </row>
    <row r="1049" spans="1:38" ht="11.1" customHeight="1" x14ac:dyDescent="0.25">
      <c r="A1049" s="630" t="s">
        <v>4371</v>
      </c>
      <c r="B1049" s="630"/>
      <c r="C1049" s="630"/>
      <c r="L1049" s="630" t="s">
        <v>706</v>
      </c>
      <c r="M1049" s="630"/>
      <c r="N1049" s="630"/>
      <c r="O1049" s="630"/>
      <c r="P1049" s="630"/>
      <c r="Q1049" s="627">
        <v>385700.41</v>
      </c>
      <c r="R1049" s="627"/>
      <c r="T1049" s="631">
        <v>38501.360000000001</v>
      </c>
      <c r="U1049" s="631"/>
      <c r="V1049" s="631"/>
      <c r="Y1049" s="631">
        <v>0</v>
      </c>
      <c r="Z1049" s="631"/>
      <c r="AA1049" s="631"/>
      <c r="AB1049" s="631"/>
      <c r="AC1049" s="631"/>
      <c r="AD1049" s="631"/>
      <c r="AF1049" s="627">
        <v>424201.77</v>
      </c>
      <c r="AG1049" s="627"/>
      <c r="AH1049" s="627"/>
      <c r="AI1049" s="627"/>
      <c r="AJ1049" s="627"/>
      <c r="AK1049" s="627"/>
      <c r="AL1049" s="627"/>
    </row>
    <row r="1050" spans="1:38" ht="11.1" customHeight="1" x14ac:dyDescent="0.25">
      <c r="A1050" s="630" t="s">
        <v>4372</v>
      </c>
      <c r="B1050" s="630"/>
      <c r="C1050" s="630"/>
      <c r="M1050" s="630" t="s">
        <v>216</v>
      </c>
      <c r="N1050" s="630"/>
      <c r="O1050" s="630"/>
      <c r="P1050" s="630"/>
      <c r="Q1050" s="627">
        <v>385700.41</v>
      </c>
      <c r="R1050" s="627"/>
      <c r="T1050" s="631">
        <v>38501.360000000001</v>
      </c>
      <c r="U1050" s="631"/>
      <c r="V1050" s="631"/>
      <c r="Y1050" s="631">
        <v>0</v>
      </c>
      <c r="Z1050" s="631"/>
      <c r="AA1050" s="631"/>
      <c r="AB1050" s="631"/>
      <c r="AC1050" s="631"/>
      <c r="AD1050" s="631"/>
      <c r="AF1050" s="627">
        <v>424201.77</v>
      </c>
      <c r="AG1050" s="627"/>
      <c r="AH1050" s="627"/>
      <c r="AI1050" s="627"/>
      <c r="AJ1050" s="627"/>
      <c r="AK1050" s="627"/>
      <c r="AL1050" s="627"/>
    </row>
    <row r="1051" spans="1:38" ht="11.1" customHeight="1" x14ac:dyDescent="0.25">
      <c r="A1051" s="630" t="s">
        <v>4373</v>
      </c>
      <c r="B1051" s="630"/>
      <c r="C1051" s="630"/>
      <c r="K1051" s="630" t="s">
        <v>1065</v>
      </c>
      <c r="L1051" s="630"/>
      <c r="M1051" s="630"/>
      <c r="N1051" s="630"/>
      <c r="O1051" s="630"/>
      <c r="P1051" s="630"/>
      <c r="Q1051" s="627">
        <v>30900.41</v>
      </c>
      <c r="R1051" s="627"/>
      <c r="T1051" s="631">
        <v>2537.7800000000002</v>
      </c>
      <c r="U1051" s="631"/>
      <c r="V1051" s="631"/>
      <c r="Y1051" s="631">
        <v>0</v>
      </c>
      <c r="Z1051" s="631"/>
      <c r="AA1051" s="631"/>
      <c r="AB1051" s="631"/>
      <c r="AC1051" s="631"/>
      <c r="AD1051" s="631"/>
      <c r="AF1051" s="627">
        <v>33438.19</v>
      </c>
      <c r="AG1051" s="627"/>
      <c r="AH1051" s="627"/>
      <c r="AI1051" s="627"/>
      <c r="AJ1051" s="627"/>
      <c r="AK1051" s="627"/>
      <c r="AL1051" s="627"/>
    </row>
    <row r="1052" spans="1:38" ht="11.1" customHeight="1" x14ac:dyDescent="0.25">
      <c r="A1052" s="630" t="s">
        <v>4374</v>
      </c>
      <c r="B1052" s="630"/>
      <c r="C1052" s="630"/>
      <c r="M1052" s="630" t="s">
        <v>2481</v>
      </c>
      <c r="N1052" s="630"/>
      <c r="O1052" s="630"/>
      <c r="P1052" s="630"/>
      <c r="Q1052" s="627">
        <v>30900.41</v>
      </c>
      <c r="R1052" s="627"/>
      <c r="T1052" s="631">
        <v>2537.7800000000002</v>
      </c>
      <c r="U1052" s="631"/>
      <c r="V1052" s="631"/>
      <c r="Y1052" s="631">
        <v>0</v>
      </c>
      <c r="Z1052" s="631"/>
      <c r="AA1052" s="631"/>
      <c r="AB1052" s="631"/>
      <c r="AC1052" s="631"/>
      <c r="AD1052" s="631"/>
      <c r="AF1052" s="627">
        <v>33438.19</v>
      </c>
      <c r="AG1052" s="627"/>
      <c r="AH1052" s="627"/>
      <c r="AI1052" s="627"/>
      <c r="AJ1052" s="627"/>
      <c r="AK1052" s="627"/>
      <c r="AL1052" s="627"/>
    </row>
    <row r="1053" spans="1:38" ht="11.1" customHeight="1" x14ac:dyDescent="0.25">
      <c r="A1053" s="632" t="s">
        <v>4375</v>
      </c>
      <c r="B1053" s="632"/>
      <c r="C1053" s="632"/>
      <c r="J1053" s="632" t="s">
        <v>1507</v>
      </c>
      <c r="K1053" s="632"/>
      <c r="L1053" s="632"/>
      <c r="M1053" s="632"/>
      <c r="N1053" s="632"/>
      <c r="O1053" s="632"/>
      <c r="P1053" s="632"/>
      <c r="Q1053" s="633">
        <v>881886.6</v>
      </c>
      <c r="R1053" s="633"/>
      <c r="T1053" s="634">
        <v>114447.45</v>
      </c>
      <c r="U1053" s="634"/>
      <c r="V1053" s="634"/>
      <c r="Y1053" s="634">
        <v>0.02</v>
      </c>
      <c r="Z1053" s="634"/>
      <c r="AA1053" s="634"/>
      <c r="AB1053" s="634"/>
      <c r="AC1053" s="634"/>
      <c r="AD1053" s="634"/>
      <c r="AF1053" s="633">
        <v>996334.03</v>
      </c>
      <c r="AG1053" s="633"/>
      <c r="AH1053" s="633"/>
      <c r="AI1053" s="633"/>
      <c r="AJ1053" s="633"/>
      <c r="AK1053" s="633"/>
      <c r="AL1053" s="633"/>
    </row>
    <row r="1054" spans="1:38" ht="11.1" customHeight="1" x14ac:dyDescent="0.25">
      <c r="A1054" s="630" t="s">
        <v>4376</v>
      </c>
      <c r="B1054" s="630"/>
      <c r="C1054" s="630"/>
      <c r="K1054" s="630" t="s">
        <v>1122</v>
      </c>
      <c r="L1054" s="630"/>
      <c r="M1054" s="630"/>
      <c r="N1054" s="630"/>
      <c r="O1054" s="630"/>
      <c r="P1054" s="630"/>
      <c r="Q1054" s="627">
        <v>432088.57</v>
      </c>
      <c r="R1054" s="627"/>
      <c r="T1054" s="631">
        <v>41631.5</v>
      </c>
      <c r="U1054" s="631"/>
      <c r="V1054" s="631"/>
      <c r="Y1054" s="631">
        <v>0</v>
      </c>
      <c r="Z1054" s="631"/>
      <c r="AA1054" s="631"/>
      <c r="AB1054" s="631"/>
      <c r="AC1054" s="631"/>
      <c r="AD1054" s="631"/>
      <c r="AF1054" s="627">
        <v>473720.07</v>
      </c>
      <c r="AG1054" s="627"/>
      <c r="AH1054" s="627"/>
      <c r="AI1054" s="627"/>
      <c r="AJ1054" s="627"/>
      <c r="AK1054" s="627"/>
      <c r="AL1054" s="627"/>
    </row>
    <row r="1055" spans="1:38" ht="11.1" customHeight="1" x14ac:dyDescent="0.25">
      <c r="A1055" s="630" t="s">
        <v>4377</v>
      </c>
      <c r="B1055" s="630"/>
      <c r="C1055" s="630"/>
      <c r="L1055" s="630" t="s">
        <v>302</v>
      </c>
      <c r="M1055" s="630"/>
      <c r="N1055" s="630"/>
      <c r="O1055" s="630"/>
      <c r="P1055" s="630"/>
      <c r="Q1055" s="627">
        <v>386690</v>
      </c>
      <c r="R1055" s="627"/>
      <c r="T1055" s="631">
        <v>37098.300000000003</v>
      </c>
      <c r="U1055" s="631"/>
      <c r="V1055" s="631"/>
      <c r="Y1055" s="631">
        <v>0</v>
      </c>
      <c r="Z1055" s="631"/>
      <c r="AA1055" s="631"/>
      <c r="AB1055" s="631"/>
      <c r="AC1055" s="631"/>
      <c r="AD1055" s="631"/>
      <c r="AF1055" s="627">
        <v>423788.3</v>
      </c>
      <c r="AG1055" s="627"/>
      <c r="AH1055" s="627"/>
      <c r="AI1055" s="627"/>
      <c r="AJ1055" s="627"/>
      <c r="AK1055" s="627"/>
      <c r="AL1055" s="627"/>
    </row>
    <row r="1056" spans="1:38" ht="11.1" customHeight="1" x14ac:dyDescent="0.25">
      <c r="A1056" s="630" t="s">
        <v>4378</v>
      </c>
      <c r="B1056" s="630"/>
      <c r="C1056" s="630"/>
      <c r="M1056" s="630" t="s">
        <v>1511</v>
      </c>
      <c r="N1056" s="630"/>
      <c r="O1056" s="630"/>
      <c r="P1056" s="630"/>
      <c r="Q1056" s="627">
        <v>386690</v>
      </c>
      <c r="R1056" s="627"/>
      <c r="T1056" s="631">
        <v>37098.300000000003</v>
      </c>
      <c r="U1056" s="631"/>
      <c r="V1056" s="631"/>
      <c r="Y1056" s="631">
        <v>0</v>
      </c>
      <c r="Z1056" s="631"/>
      <c r="AA1056" s="631"/>
      <c r="AB1056" s="631"/>
      <c r="AC1056" s="631"/>
      <c r="AD1056" s="631"/>
      <c r="AF1056" s="627">
        <v>423788.3</v>
      </c>
      <c r="AG1056" s="627"/>
      <c r="AH1056" s="627"/>
      <c r="AI1056" s="627"/>
      <c r="AJ1056" s="627"/>
      <c r="AK1056" s="627"/>
      <c r="AL1056" s="627"/>
    </row>
    <row r="1057" spans="1:38" ht="11.1" customHeight="1" x14ac:dyDescent="0.25">
      <c r="A1057" s="630" t="s">
        <v>4379</v>
      </c>
      <c r="B1057" s="630"/>
      <c r="C1057" s="630"/>
      <c r="L1057" s="630" t="s">
        <v>591</v>
      </c>
      <c r="M1057" s="630"/>
      <c r="N1057" s="630"/>
      <c r="O1057" s="630"/>
      <c r="P1057" s="630"/>
      <c r="Q1057" s="627">
        <v>45398.57</v>
      </c>
      <c r="R1057" s="627"/>
      <c r="T1057" s="631">
        <v>4533.2</v>
      </c>
      <c r="U1057" s="631"/>
      <c r="V1057" s="631"/>
      <c r="Y1057" s="631">
        <v>0</v>
      </c>
      <c r="Z1057" s="631"/>
      <c r="AA1057" s="631"/>
      <c r="AB1057" s="631"/>
      <c r="AC1057" s="631"/>
      <c r="AD1057" s="631"/>
      <c r="AF1057" s="627">
        <v>49931.77</v>
      </c>
      <c r="AG1057" s="627"/>
      <c r="AH1057" s="627"/>
      <c r="AI1057" s="627"/>
      <c r="AJ1057" s="627"/>
      <c r="AK1057" s="627"/>
      <c r="AL1057" s="627"/>
    </row>
    <row r="1058" spans="1:38" ht="11.1" customHeight="1" x14ac:dyDescent="0.25">
      <c r="A1058" s="630" t="s">
        <v>4380</v>
      </c>
      <c r="B1058" s="630"/>
      <c r="C1058" s="630"/>
      <c r="M1058" s="630" t="s">
        <v>1147</v>
      </c>
      <c r="N1058" s="630"/>
      <c r="O1058" s="630"/>
      <c r="P1058" s="630"/>
      <c r="Q1058" s="627">
        <v>45398.57</v>
      </c>
      <c r="R1058" s="627"/>
      <c r="T1058" s="631">
        <v>4533.2</v>
      </c>
      <c r="U1058" s="631"/>
      <c r="V1058" s="631"/>
      <c r="Y1058" s="631">
        <v>0</v>
      </c>
      <c r="Z1058" s="631"/>
      <c r="AA1058" s="631"/>
      <c r="AB1058" s="631"/>
      <c r="AC1058" s="631"/>
      <c r="AD1058" s="631"/>
      <c r="AF1058" s="627">
        <v>49931.77</v>
      </c>
      <c r="AG1058" s="627"/>
      <c r="AH1058" s="627"/>
      <c r="AI1058" s="627"/>
      <c r="AJ1058" s="627"/>
      <c r="AK1058" s="627"/>
      <c r="AL1058" s="627"/>
    </row>
    <row r="1059" spans="1:38" ht="11.1" customHeight="1" x14ac:dyDescent="0.25">
      <c r="A1059" s="630" t="s">
        <v>4381</v>
      </c>
      <c r="B1059" s="630"/>
      <c r="C1059" s="630"/>
      <c r="K1059" s="630" t="s">
        <v>1149</v>
      </c>
      <c r="L1059" s="630"/>
      <c r="M1059" s="630"/>
      <c r="N1059" s="630"/>
      <c r="O1059" s="630"/>
      <c r="P1059" s="630"/>
      <c r="Q1059" s="627">
        <v>146995.46</v>
      </c>
      <c r="R1059" s="627"/>
      <c r="T1059" s="631">
        <v>13420.57</v>
      </c>
      <c r="U1059" s="631"/>
      <c r="V1059" s="631"/>
      <c r="Y1059" s="631">
        <v>0</v>
      </c>
      <c r="Z1059" s="631"/>
      <c r="AA1059" s="631"/>
      <c r="AB1059" s="631"/>
      <c r="AC1059" s="631"/>
      <c r="AD1059" s="631"/>
      <c r="AF1059" s="627">
        <v>160416.03</v>
      </c>
      <c r="AG1059" s="627"/>
      <c r="AH1059" s="627"/>
      <c r="AI1059" s="627"/>
      <c r="AJ1059" s="627"/>
      <c r="AK1059" s="627"/>
      <c r="AL1059" s="627"/>
    </row>
    <row r="1060" spans="1:38" ht="11.1" customHeight="1" x14ac:dyDescent="0.25">
      <c r="A1060" s="630" t="s">
        <v>4382</v>
      </c>
      <c r="B1060" s="630"/>
      <c r="C1060" s="630"/>
      <c r="L1060" s="630" t="s">
        <v>586</v>
      </c>
      <c r="M1060" s="630"/>
      <c r="N1060" s="630"/>
      <c r="O1060" s="630"/>
      <c r="P1060" s="630"/>
      <c r="Q1060" s="627">
        <v>21880.5</v>
      </c>
      <c r="R1060" s="627"/>
      <c r="T1060" s="631">
        <v>1988.3</v>
      </c>
      <c r="U1060" s="631"/>
      <c r="V1060" s="631"/>
      <c r="Y1060" s="631">
        <v>0</v>
      </c>
      <c r="Z1060" s="631"/>
      <c r="AA1060" s="631"/>
      <c r="AB1060" s="631"/>
      <c r="AC1060" s="631"/>
      <c r="AD1060" s="631"/>
      <c r="AF1060" s="627">
        <v>23868.799999999999</v>
      </c>
      <c r="AG1060" s="627"/>
      <c r="AH1060" s="627"/>
      <c r="AI1060" s="627"/>
      <c r="AJ1060" s="627"/>
      <c r="AK1060" s="627"/>
      <c r="AL1060" s="627"/>
    </row>
    <row r="1061" spans="1:38" ht="11.1" customHeight="1" x14ac:dyDescent="0.25">
      <c r="A1061" s="630" t="s">
        <v>4383</v>
      </c>
      <c r="B1061" s="630"/>
      <c r="C1061" s="630"/>
      <c r="M1061" s="630" t="s">
        <v>1517</v>
      </c>
      <c r="N1061" s="630"/>
      <c r="O1061" s="630"/>
      <c r="P1061" s="630"/>
      <c r="Q1061" s="627">
        <v>21880.5</v>
      </c>
      <c r="R1061" s="627"/>
      <c r="T1061" s="631">
        <v>1988.3</v>
      </c>
      <c r="U1061" s="631"/>
      <c r="V1061" s="631"/>
      <c r="Y1061" s="631">
        <v>0</v>
      </c>
      <c r="Z1061" s="631"/>
      <c r="AA1061" s="631"/>
      <c r="AB1061" s="631"/>
      <c r="AC1061" s="631"/>
      <c r="AD1061" s="631"/>
      <c r="AF1061" s="627">
        <v>23868.799999999999</v>
      </c>
      <c r="AG1061" s="627"/>
      <c r="AH1061" s="627"/>
      <c r="AI1061" s="627"/>
      <c r="AJ1061" s="627"/>
      <c r="AK1061" s="627"/>
      <c r="AL1061" s="627"/>
    </row>
    <row r="1062" spans="1:38" ht="11.1" customHeight="1" x14ac:dyDescent="0.25">
      <c r="A1062" s="630" t="s">
        <v>4384</v>
      </c>
      <c r="B1062" s="630"/>
      <c r="C1062" s="630"/>
      <c r="L1062" s="630" t="s">
        <v>302</v>
      </c>
      <c r="M1062" s="630"/>
      <c r="N1062" s="630"/>
      <c r="O1062" s="630"/>
      <c r="P1062" s="630"/>
      <c r="Q1062" s="627">
        <v>107612.34</v>
      </c>
      <c r="R1062" s="627"/>
      <c r="T1062" s="631">
        <v>9782.94</v>
      </c>
      <c r="U1062" s="631"/>
      <c r="V1062" s="631"/>
      <c r="Y1062" s="631">
        <v>0</v>
      </c>
      <c r="Z1062" s="631"/>
      <c r="AA1062" s="631"/>
      <c r="AB1062" s="631"/>
      <c r="AC1062" s="631"/>
      <c r="AD1062" s="631"/>
      <c r="AF1062" s="627">
        <v>117395.28</v>
      </c>
      <c r="AG1062" s="627"/>
      <c r="AH1062" s="627"/>
      <c r="AI1062" s="627"/>
      <c r="AJ1062" s="627"/>
      <c r="AK1062" s="627"/>
      <c r="AL1062" s="627"/>
    </row>
    <row r="1063" spans="1:38" ht="11.1" customHeight="1" x14ac:dyDescent="0.25">
      <c r="A1063" s="630" t="s">
        <v>4385</v>
      </c>
      <c r="B1063" s="630"/>
      <c r="C1063" s="630"/>
      <c r="M1063" s="630" t="s">
        <v>1520</v>
      </c>
      <c r="N1063" s="630"/>
      <c r="O1063" s="630"/>
      <c r="P1063" s="630"/>
      <c r="Q1063" s="627">
        <v>107612.34</v>
      </c>
      <c r="R1063" s="627"/>
      <c r="T1063" s="631">
        <v>9782.94</v>
      </c>
      <c r="U1063" s="631"/>
      <c r="V1063" s="631"/>
      <c r="Y1063" s="631">
        <v>0</v>
      </c>
      <c r="Z1063" s="631"/>
      <c r="AA1063" s="631"/>
      <c r="AB1063" s="631"/>
      <c r="AC1063" s="631"/>
      <c r="AD1063" s="631"/>
      <c r="AF1063" s="627">
        <v>117395.28</v>
      </c>
      <c r="AG1063" s="627"/>
      <c r="AH1063" s="627"/>
      <c r="AI1063" s="627"/>
      <c r="AJ1063" s="627"/>
      <c r="AK1063" s="627"/>
      <c r="AL1063" s="627"/>
    </row>
    <row r="1064" spans="1:38" ht="11.1" customHeight="1" x14ac:dyDescent="0.25">
      <c r="A1064" s="630" t="s">
        <v>4386</v>
      </c>
      <c r="B1064" s="630"/>
      <c r="C1064" s="630"/>
      <c r="L1064" s="630" t="s">
        <v>1522</v>
      </c>
      <c r="M1064" s="630"/>
      <c r="N1064" s="630"/>
      <c r="O1064" s="630"/>
      <c r="P1064" s="630"/>
      <c r="Q1064" s="627">
        <v>17502.62</v>
      </c>
      <c r="R1064" s="627"/>
      <c r="T1064" s="631">
        <v>1649.33</v>
      </c>
      <c r="U1064" s="631"/>
      <c r="V1064" s="631"/>
      <c r="Y1064" s="631">
        <v>0</v>
      </c>
      <c r="Z1064" s="631"/>
      <c r="AA1064" s="631"/>
      <c r="AB1064" s="631"/>
      <c r="AC1064" s="631"/>
      <c r="AD1064" s="631"/>
      <c r="AF1064" s="627">
        <v>19151.95</v>
      </c>
      <c r="AG1064" s="627"/>
      <c r="AH1064" s="627"/>
      <c r="AI1064" s="627"/>
      <c r="AJ1064" s="627"/>
      <c r="AK1064" s="627"/>
      <c r="AL1064" s="627"/>
    </row>
    <row r="1065" spans="1:38" ht="11.1" customHeight="1" x14ac:dyDescent="0.25">
      <c r="A1065" s="630" t="s">
        <v>4387</v>
      </c>
      <c r="B1065" s="630"/>
      <c r="C1065" s="630"/>
      <c r="M1065" s="630" t="s">
        <v>1153</v>
      </c>
      <c r="N1065" s="630"/>
      <c r="O1065" s="630"/>
      <c r="P1065" s="630"/>
      <c r="Q1065" s="627">
        <v>17502.62</v>
      </c>
      <c r="R1065" s="627"/>
      <c r="T1065" s="631">
        <v>1649.33</v>
      </c>
      <c r="U1065" s="631"/>
      <c r="V1065" s="631"/>
      <c r="Y1065" s="631">
        <v>0</v>
      </c>
      <c r="Z1065" s="631"/>
      <c r="AA1065" s="631"/>
      <c r="AB1065" s="631"/>
      <c r="AC1065" s="631"/>
      <c r="AD1065" s="631"/>
      <c r="AF1065" s="627">
        <v>19151.95</v>
      </c>
      <c r="AG1065" s="627"/>
      <c r="AH1065" s="627"/>
      <c r="AI1065" s="627"/>
      <c r="AJ1065" s="627"/>
      <c r="AK1065" s="627"/>
      <c r="AL1065" s="627"/>
    </row>
    <row r="1066" spans="1:38" ht="11.1" customHeight="1" x14ac:dyDescent="0.25">
      <c r="A1066" s="630" t="s">
        <v>4388</v>
      </c>
      <c r="B1066" s="630"/>
      <c r="C1066" s="630"/>
      <c r="K1066" s="630" t="s">
        <v>1161</v>
      </c>
      <c r="L1066" s="630"/>
      <c r="M1066" s="630"/>
      <c r="N1066" s="630"/>
      <c r="O1066" s="630"/>
      <c r="P1066" s="630"/>
      <c r="Q1066" s="627">
        <v>302802.57</v>
      </c>
      <c r="R1066" s="627"/>
      <c r="T1066" s="631">
        <v>59395.38</v>
      </c>
      <c r="U1066" s="631"/>
      <c r="V1066" s="631"/>
      <c r="Y1066" s="631">
        <v>0.02</v>
      </c>
      <c r="Z1066" s="631"/>
      <c r="AA1066" s="631"/>
      <c r="AB1066" s="631"/>
      <c r="AC1066" s="631"/>
      <c r="AD1066" s="631"/>
      <c r="AF1066" s="627">
        <v>362197.93</v>
      </c>
      <c r="AG1066" s="627"/>
      <c r="AH1066" s="627"/>
      <c r="AI1066" s="627"/>
      <c r="AJ1066" s="627"/>
      <c r="AK1066" s="627"/>
      <c r="AL1066" s="627"/>
    </row>
    <row r="1067" spans="1:38" ht="11.1" customHeight="1" x14ac:dyDescent="0.25">
      <c r="A1067" s="630" t="s">
        <v>4389</v>
      </c>
      <c r="B1067" s="630"/>
      <c r="C1067" s="630"/>
      <c r="L1067" s="630" t="s">
        <v>302</v>
      </c>
      <c r="M1067" s="630"/>
      <c r="N1067" s="630"/>
      <c r="O1067" s="630"/>
      <c r="P1067" s="630"/>
      <c r="Q1067" s="627">
        <v>302802.57</v>
      </c>
      <c r="R1067" s="627"/>
      <c r="T1067" s="631">
        <v>59395.38</v>
      </c>
      <c r="U1067" s="631"/>
      <c r="V1067" s="631"/>
      <c r="Y1067" s="631">
        <v>0.02</v>
      </c>
      <c r="Z1067" s="631"/>
      <c r="AA1067" s="631"/>
      <c r="AB1067" s="631"/>
      <c r="AC1067" s="631"/>
      <c r="AD1067" s="631"/>
      <c r="AF1067" s="627">
        <v>362197.93</v>
      </c>
      <c r="AG1067" s="627"/>
      <c r="AH1067" s="627"/>
      <c r="AI1067" s="627"/>
      <c r="AJ1067" s="627"/>
      <c r="AK1067" s="627"/>
      <c r="AL1067" s="627"/>
    </row>
    <row r="1068" spans="1:38" ht="11.1" customHeight="1" x14ac:dyDescent="0.25">
      <c r="A1068" s="630" t="s">
        <v>4390</v>
      </c>
      <c r="B1068" s="630"/>
      <c r="C1068" s="630"/>
      <c r="M1068" s="630" t="s">
        <v>1527</v>
      </c>
      <c r="N1068" s="630"/>
      <c r="O1068" s="630"/>
      <c r="P1068" s="630"/>
      <c r="Q1068" s="627">
        <v>302802.57</v>
      </c>
      <c r="R1068" s="627"/>
      <c r="T1068" s="631">
        <v>59395.38</v>
      </c>
      <c r="U1068" s="631"/>
      <c r="V1068" s="631"/>
      <c r="Y1068" s="631">
        <v>0.02</v>
      </c>
      <c r="Z1068" s="631"/>
      <c r="AA1068" s="631"/>
      <c r="AB1068" s="631"/>
      <c r="AC1068" s="631"/>
      <c r="AD1068" s="631"/>
      <c r="AF1068" s="627">
        <v>362197.93</v>
      </c>
      <c r="AG1068" s="627"/>
      <c r="AH1068" s="627"/>
      <c r="AI1068" s="627"/>
      <c r="AJ1068" s="627"/>
      <c r="AK1068" s="627"/>
      <c r="AL1068" s="627"/>
    </row>
    <row r="1069" spans="1:38" ht="11.1" customHeight="1" x14ac:dyDescent="0.25">
      <c r="A1069" s="632" t="s">
        <v>4391</v>
      </c>
      <c r="B1069" s="632"/>
      <c r="C1069" s="632"/>
      <c r="I1069" s="632" t="s">
        <v>1529</v>
      </c>
      <c r="J1069" s="632"/>
      <c r="K1069" s="632"/>
      <c r="L1069" s="632"/>
      <c r="M1069" s="632"/>
      <c r="N1069" s="632"/>
      <c r="O1069" s="632"/>
      <c r="P1069" s="632"/>
      <c r="Q1069" s="633">
        <v>-53567026.259999998</v>
      </c>
      <c r="R1069" s="633"/>
      <c r="T1069" s="634">
        <v>4608911.6500000004</v>
      </c>
      <c r="U1069" s="634"/>
      <c r="V1069" s="634"/>
      <c r="Y1069" s="634">
        <v>13590467.890000001</v>
      </c>
      <c r="Z1069" s="634"/>
      <c r="AA1069" s="634"/>
      <c r="AB1069" s="634"/>
      <c r="AC1069" s="634"/>
      <c r="AD1069" s="634"/>
      <c r="AF1069" s="633">
        <v>-62548582.5</v>
      </c>
      <c r="AG1069" s="633"/>
      <c r="AH1069" s="633"/>
      <c r="AI1069" s="633"/>
      <c r="AJ1069" s="633"/>
      <c r="AK1069" s="633"/>
      <c r="AL1069" s="633"/>
    </row>
    <row r="1070" spans="1:38" ht="11.1" customHeight="1" x14ac:dyDescent="0.25">
      <c r="A1070" s="632" t="s">
        <v>4392</v>
      </c>
      <c r="B1070" s="632"/>
      <c r="C1070" s="632"/>
      <c r="J1070" s="632" t="s">
        <v>1478</v>
      </c>
      <c r="K1070" s="632"/>
      <c r="L1070" s="632"/>
      <c r="M1070" s="632"/>
      <c r="N1070" s="632"/>
      <c r="O1070" s="632"/>
      <c r="P1070" s="632"/>
      <c r="Q1070" s="633">
        <v>-59791021.219999999</v>
      </c>
      <c r="R1070" s="633"/>
      <c r="T1070" s="634">
        <v>3848710.39</v>
      </c>
      <c r="U1070" s="634"/>
      <c r="V1070" s="634"/>
      <c r="Y1070" s="634">
        <v>13590467.890000001</v>
      </c>
      <c r="Z1070" s="634"/>
      <c r="AA1070" s="634"/>
      <c r="AB1070" s="634"/>
      <c r="AC1070" s="634"/>
      <c r="AD1070" s="634"/>
      <c r="AF1070" s="633">
        <v>-69532778.719999999</v>
      </c>
      <c r="AG1070" s="633"/>
      <c r="AH1070" s="633"/>
      <c r="AI1070" s="633"/>
      <c r="AJ1070" s="633"/>
      <c r="AK1070" s="633"/>
      <c r="AL1070" s="633"/>
    </row>
    <row r="1071" spans="1:38" ht="11.1" customHeight="1" x14ac:dyDescent="0.25">
      <c r="A1071" s="630" t="s">
        <v>4393</v>
      </c>
      <c r="B1071" s="630"/>
      <c r="C1071" s="630"/>
      <c r="K1071" s="630" t="s">
        <v>1532</v>
      </c>
      <c r="L1071" s="630"/>
      <c r="M1071" s="630"/>
      <c r="N1071" s="630"/>
      <c r="O1071" s="630"/>
      <c r="P1071" s="630"/>
      <c r="Q1071" s="627">
        <v>-28556250.960000001</v>
      </c>
      <c r="R1071" s="627"/>
      <c r="T1071" s="631">
        <v>0</v>
      </c>
      <c r="U1071" s="631"/>
      <c r="V1071" s="631"/>
      <c r="Y1071" s="631">
        <v>2587589.77</v>
      </c>
      <c r="Z1071" s="631"/>
      <c r="AA1071" s="631"/>
      <c r="AB1071" s="631"/>
      <c r="AC1071" s="631"/>
      <c r="AD1071" s="631"/>
      <c r="AF1071" s="627">
        <v>-31143840.73</v>
      </c>
      <c r="AG1071" s="627"/>
      <c r="AH1071" s="627"/>
      <c r="AI1071" s="627"/>
      <c r="AJ1071" s="627"/>
      <c r="AK1071" s="627"/>
      <c r="AL1071" s="627"/>
    </row>
    <row r="1072" spans="1:38" ht="11.1" customHeight="1" x14ac:dyDescent="0.25">
      <c r="A1072" s="630" t="s">
        <v>4394</v>
      </c>
      <c r="B1072" s="630"/>
      <c r="C1072" s="630"/>
      <c r="L1072" s="630" t="s">
        <v>1534</v>
      </c>
      <c r="M1072" s="630"/>
      <c r="N1072" s="630"/>
      <c r="O1072" s="630"/>
      <c r="P1072" s="630"/>
      <c r="Q1072" s="627">
        <v>-28556250.960000001</v>
      </c>
      <c r="R1072" s="627"/>
      <c r="T1072" s="631">
        <v>0</v>
      </c>
      <c r="U1072" s="631"/>
      <c r="V1072" s="631"/>
      <c r="Y1072" s="631">
        <v>2587589.77</v>
      </c>
      <c r="Z1072" s="631"/>
      <c r="AA1072" s="631"/>
      <c r="AB1072" s="631"/>
      <c r="AC1072" s="631"/>
      <c r="AD1072" s="631"/>
      <c r="AF1072" s="627">
        <v>-31143840.73</v>
      </c>
      <c r="AG1072" s="627"/>
      <c r="AH1072" s="627"/>
      <c r="AI1072" s="627"/>
      <c r="AJ1072" s="627"/>
      <c r="AK1072" s="627"/>
      <c r="AL1072" s="627"/>
    </row>
    <row r="1073" spans="1:38" ht="11.1" customHeight="1" x14ac:dyDescent="0.25">
      <c r="A1073" s="630" t="s">
        <v>4395</v>
      </c>
      <c r="B1073" s="630"/>
      <c r="C1073" s="630"/>
      <c r="M1073" s="630" t="s">
        <v>1536</v>
      </c>
      <c r="N1073" s="630"/>
      <c r="O1073" s="630"/>
      <c r="P1073" s="630"/>
      <c r="Q1073" s="627">
        <v>-28556250.960000001</v>
      </c>
      <c r="R1073" s="627"/>
      <c r="T1073" s="631">
        <v>0</v>
      </c>
      <c r="U1073" s="631"/>
      <c r="V1073" s="631"/>
      <c r="Y1073" s="631">
        <v>2587589.77</v>
      </c>
      <c r="Z1073" s="631"/>
      <c r="AA1073" s="631"/>
      <c r="AB1073" s="631"/>
      <c r="AC1073" s="631"/>
      <c r="AD1073" s="631"/>
      <c r="AF1073" s="627">
        <v>-31143840.73</v>
      </c>
      <c r="AG1073" s="627"/>
      <c r="AH1073" s="627"/>
      <c r="AI1073" s="627"/>
      <c r="AJ1073" s="627"/>
      <c r="AK1073" s="627"/>
      <c r="AL1073" s="627"/>
    </row>
    <row r="1074" spans="1:38" ht="11.1" customHeight="1" x14ac:dyDescent="0.25">
      <c r="A1074" s="630" t="s">
        <v>4396</v>
      </c>
      <c r="B1074" s="630"/>
      <c r="C1074" s="630"/>
      <c r="K1074" s="630" t="s">
        <v>1538</v>
      </c>
      <c r="L1074" s="630"/>
      <c r="M1074" s="630"/>
      <c r="N1074" s="630"/>
      <c r="O1074" s="630"/>
      <c r="P1074" s="630"/>
      <c r="Q1074" s="627">
        <v>-31234770.260000002</v>
      </c>
      <c r="R1074" s="627"/>
      <c r="T1074" s="631">
        <v>3848710.39</v>
      </c>
      <c r="U1074" s="631"/>
      <c r="V1074" s="631"/>
      <c r="Y1074" s="631">
        <v>11002878.119999999</v>
      </c>
      <c r="Z1074" s="631"/>
      <c r="AA1074" s="631"/>
      <c r="AB1074" s="631"/>
      <c r="AC1074" s="631"/>
      <c r="AD1074" s="631"/>
      <c r="AF1074" s="627">
        <v>-38388937.990000002</v>
      </c>
      <c r="AG1074" s="627"/>
      <c r="AH1074" s="627"/>
      <c r="AI1074" s="627"/>
      <c r="AJ1074" s="627"/>
      <c r="AK1074" s="627"/>
      <c r="AL1074" s="627"/>
    </row>
    <row r="1075" spans="1:38" ht="11.1" customHeight="1" x14ac:dyDescent="0.25">
      <c r="A1075" s="630" t="s">
        <v>4397</v>
      </c>
      <c r="B1075" s="630"/>
      <c r="C1075" s="630"/>
      <c r="L1075" s="630" t="s">
        <v>1538</v>
      </c>
      <c r="M1075" s="630"/>
      <c r="N1075" s="630"/>
      <c r="O1075" s="630"/>
      <c r="P1075" s="630"/>
      <c r="Q1075" s="627">
        <v>-8587825.1300000008</v>
      </c>
      <c r="R1075" s="627"/>
      <c r="T1075" s="631">
        <v>3848710.39</v>
      </c>
      <c r="U1075" s="631"/>
      <c r="V1075" s="631"/>
      <c r="Y1075" s="631">
        <v>8300245.7300000004</v>
      </c>
      <c r="Z1075" s="631"/>
      <c r="AA1075" s="631"/>
      <c r="AB1075" s="631"/>
      <c r="AC1075" s="631"/>
      <c r="AD1075" s="631"/>
      <c r="AF1075" s="627">
        <v>-13039360.470000001</v>
      </c>
      <c r="AG1075" s="627"/>
      <c r="AH1075" s="627"/>
      <c r="AI1075" s="627"/>
      <c r="AJ1075" s="627"/>
      <c r="AK1075" s="627"/>
      <c r="AL1075" s="627"/>
    </row>
    <row r="1076" spans="1:38" ht="11.1" customHeight="1" x14ac:dyDescent="0.25">
      <c r="A1076" s="630" t="s">
        <v>4398</v>
      </c>
      <c r="B1076" s="630"/>
      <c r="C1076" s="630"/>
      <c r="M1076" s="630" t="s">
        <v>1541</v>
      </c>
      <c r="N1076" s="630"/>
      <c r="O1076" s="630"/>
      <c r="P1076" s="630"/>
      <c r="Q1076" s="627">
        <v>-976800.39</v>
      </c>
      <c r="R1076" s="627"/>
      <c r="T1076" s="631">
        <v>0</v>
      </c>
      <c r="U1076" s="631"/>
      <c r="V1076" s="631"/>
      <c r="Y1076" s="631">
        <v>123172.02</v>
      </c>
      <c r="Z1076" s="631"/>
      <c r="AA1076" s="631"/>
      <c r="AB1076" s="631"/>
      <c r="AC1076" s="631"/>
      <c r="AD1076" s="631"/>
      <c r="AF1076" s="627">
        <v>-1099972.4099999999</v>
      </c>
      <c r="AG1076" s="627"/>
      <c r="AH1076" s="627"/>
      <c r="AI1076" s="627"/>
      <c r="AJ1076" s="627"/>
      <c r="AK1076" s="627"/>
      <c r="AL1076" s="627"/>
    </row>
    <row r="1077" spans="1:38" ht="11.1" customHeight="1" x14ac:dyDescent="0.25">
      <c r="A1077" s="630" t="s">
        <v>4399</v>
      </c>
      <c r="B1077" s="630"/>
      <c r="C1077" s="630"/>
      <c r="M1077" s="630" t="s">
        <v>2283</v>
      </c>
      <c r="N1077" s="630"/>
      <c r="O1077" s="630"/>
      <c r="P1077" s="630"/>
      <c r="Q1077" s="627">
        <v>-7611024.7400000002</v>
      </c>
      <c r="R1077" s="627"/>
      <c r="T1077" s="631">
        <v>3848710.39</v>
      </c>
      <c r="U1077" s="631"/>
      <c r="V1077" s="631"/>
      <c r="Y1077" s="631">
        <v>7289482.6399999997</v>
      </c>
      <c r="Z1077" s="631"/>
      <c r="AA1077" s="631"/>
      <c r="AB1077" s="631"/>
      <c r="AC1077" s="631"/>
      <c r="AD1077" s="631"/>
      <c r="AF1077" s="627">
        <v>-11051796.99</v>
      </c>
      <c r="AG1077" s="627"/>
      <c r="AH1077" s="627"/>
      <c r="AI1077" s="627"/>
      <c r="AJ1077" s="627"/>
      <c r="AK1077" s="627"/>
      <c r="AL1077" s="627"/>
    </row>
    <row r="1078" spans="1:38" ht="11.1" customHeight="1" x14ac:dyDescent="0.25">
      <c r="A1078" s="630" t="s">
        <v>4400</v>
      </c>
      <c r="B1078" s="630"/>
      <c r="C1078" s="630"/>
      <c r="M1078" s="630" t="s">
        <v>1988</v>
      </c>
      <c r="N1078" s="630"/>
      <c r="O1078" s="630"/>
      <c r="P1078" s="630"/>
      <c r="Q1078" s="627">
        <v>0</v>
      </c>
      <c r="R1078" s="627"/>
      <c r="T1078" s="631">
        <v>0</v>
      </c>
      <c r="U1078" s="631"/>
      <c r="V1078" s="631"/>
      <c r="Y1078" s="631">
        <v>887591.07</v>
      </c>
      <c r="Z1078" s="631"/>
      <c r="AA1078" s="631"/>
      <c r="AB1078" s="631"/>
      <c r="AC1078" s="631"/>
      <c r="AD1078" s="631"/>
      <c r="AF1078" s="627">
        <v>-887591.07</v>
      </c>
      <c r="AG1078" s="627"/>
      <c r="AH1078" s="627"/>
      <c r="AI1078" s="627"/>
      <c r="AJ1078" s="627"/>
      <c r="AK1078" s="627"/>
      <c r="AL1078" s="627"/>
    </row>
    <row r="1079" spans="1:38" ht="11.1" customHeight="1" x14ac:dyDescent="0.25">
      <c r="A1079" s="630" t="s">
        <v>4401</v>
      </c>
      <c r="B1079" s="630"/>
      <c r="C1079" s="630"/>
      <c r="L1079" s="630" t="s">
        <v>1529</v>
      </c>
      <c r="M1079" s="630"/>
      <c r="N1079" s="630"/>
      <c r="O1079" s="630"/>
      <c r="P1079" s="630"/>
      <c r="Q1079" s="627">
        <v>-22646945.129999999</v>
      </c>
      <c r="R1079" s="627"/>
      <c r="T1079" s="631">
        <v>0</v>
      </c>
      <c r="U1079" s="631"/>
      <c r="V1079" s="631"/>
      <c r="Y1079" s="631">
        <v>2702632.39</v>
      </c>
      <c r="Z1079" s="631"/>
      <c r="AA1079" s="631"/>
      <c r="AB1079" s="631"/>
      <c r="AC1079" s="631"/>
      <c r="AD1079" s="631"/>
      <c r="AF1079" s="627">
        <v>-25349577.52</v>
      </c>
      <c r="AG1079" s="627"/>
      <c r="AH1079" s="627"/>
      <c r="AI1079" s="627"/>
      <c r="AJ1079" s="627"/>
      <c r="AK1079" s="627"/>
      <c r="AL1079" s="627"/>
    </row>
    <row r="1080" spans="1:38" ht="11.1" customHeight="1" x14ac:dyDescent="0.25">
      <c r="A1080" s="630" t="s">
        <v>4402</v>
      </c>
      <c r="B1080" s="630"/>
      <c r="C1080" s="630"/>
      <c r="M1080" s="630" t="s">
        <v>2368</v>
      </c>
      <c r="N1080" s="630"/>
      <c r="O1080" s="630"/>
      <c r="P1080" s="630"/>
      <c r="Q1080" s="627">
        <v>-22646945.129999999</v>
      </c>
      <c r="R1080" s="627"/>
      <c r="T1080" s="631">
        <v>0</v>
      </c>
      <c r="U1080" s="631"/>
      <c r="V1080" s="631"/>
      <c r="Y1080" s="631">
        <v>2702632.39</v>
      </c>
      <c r="Z1080" s="631"/>
      <c r="AA1080" s="631"/>
      <c r="AB1080" s="631"/>
      <c r="AC1080" s="631"/>
      <c r="AD1080" s="631"/>
      <c r="AF1080" s="627">
        <v>-25349577.52</v>
      </c>
      <c r="AG1080" s="627"/>
      <c r="AH1080" s="627"/>
      <c r="AI1080" s="627"/>
      <c r="AJ1080" s="627"/>
      <c r="AK1080" s="627"/>
      <c r="AL1080" s="627"/>
    </row>
    <row r="1081" spans="1:38" ht="11.1" customHeight="1" x14ac:dyDescent="0.25">
      <c r="A1081" s="632" t="s">
        <v>4403</v>
      </c>
      <c r="B1081" s="632"/>
      <c r="C1081" s="632"/>
      <c r="J1081" s="632" t="s">
        <v>1490</v>
      </c>
      <c r="K1081" s="632"/>
      <c r="L1081" s="632"/>
      <c r="M1081" s="632"/>
      <c r="N1081" s="632"/>
      <c r="O1081" s="632"/>
      <c r="P1081" s="632"/>
      <c r="Q1081" s="633">
        <v>6223994.96</v>
      </c>
      <c r="R1081" s="633"/>
      <c r="T1081" s="634">
        <v>760201.26</v>
      </c>
      <c r="U1081" s="634"/>
      <c r="V1081" s="634"/>
      <c r="Y1081" s="634">
        <v>0</v>
      </c>
      <c r="Z1081" s="634"/>
      <c r="AA1081" s="634"/>
      <c r="AB1081" s="634"/>
      <c r="AC1081" s="634"/>
      <c r="AD1081" s="634"/>
      <c r="AF1081" s="633">
        <v>6984196.2199999997</v>
      </c>
      <c r="AG1081" s="633"/>
      <c r="AH1081" s="633"/>
      <c r="AI1081" s="633"/>
      <c r="AJ1081" s="633"/>
      <c r="AK1081" s="633"/>
      <c r="AL1081" s="633"/>
    </row>
    <row r="1082" spans="1:38" ht="11.1" customHeight="1" x14ac:dyDescent="0.25">
      <c r="A1082" s="630" t="s">
        <v>4404</v>
      </c>
      <c r="B1082" s="630"/>
      <c r="C1082" s="630"/>
      <c r="K1082" s="630" t="s">
        <v>445</v>
      </c>
      <c r="L1082" s="630"/>
      <c r="M1082" s="630"/>
      <c r="N1082" s="630"/>
      <c r="O1082" s="630"/>
      <c r="P1082" s="630"/>
      <c r="Q1082" s="627">
        <v>880963.61</v>
      </c>
      <c r="R1082" s="627"/>
      <c r="T1082" s="631">
        <v>114253.2</v>
      </c>
      <c r="U1082" s="631"/>
      <c r="V1082" s="631"/>
      <c r="Y1082" s="631">
        <v>0</v>
      </c>
      <c r="Z1082" s="631"/>
      <c r="AA1082" s="631"/>
      <c r="AB1082" s="631"/>
      <c r="AC1082" s="631"/>
      <c r="AD1082" s="631"/>
      <c r="AF1082" s="627">
        <v>995216.81</v>
      </c>
      <c r="AG1082" s="627"/>
      <c r="AH1082" s="627"/>
      <c r="AI1082" s="627"/>
      <c r="AJ1082" s="627"/>
      <c r="AK1082" s="627"/>
      <c r="AL1082" s="627"/>
    </row>
    <row r="1083" spans="1:38" ht="11.1" customHeight="1" x14ac:dyDescent="0.25">
      <c r="A1083" s="630" t="s">
        <v>4405</v>
      </c>
      <c r="B1083" s="630"/>
      <c r="C1083" s="630"/>
      <c r="L1083" s="630" t="s">
        <v>1534</v>
      </c>
      <c r="M1083" s="630"/>
      <c r="N1083" s="630"/>
      <c r="O1083" s="630"/>
      <c r="P1083" s="630"/>
      <c r="Q1083" s="627">
        <v>512981.13</v>
      </c>
      <c r="R1083" s="627"/>
      <c r="T1083" s="631">
        <v>69939.94</v>
      </c>
      <c r="U1083" s="631"/>
      <c r="V1083" s="631"/>
      <c r="Y1083" s="631">
        <v>0</v>
      </c>
      <c r="Z1083" s="631"/>
      <c r="AA1083" s="631"/>
      <c r="AB1083" s="631"/>
      <c r="AC1083" s="631"/>
      <c r="AD1083" s="631"/>
      <c r="AF1083" s="627">
        <v>582921.06999999995</v>
      </c>
      <c r="AG1083" s="627"/>
      <c r="AH1083" s="627"/>
      <c r="AI1083" s="627"/>
      <c r="AJ1083" s="627"/>
      <c r="AK1083" s="627"/>
      <c r="AL1083" s="627"/>
    </row>
    <row r="1084" spans="1:38" ht="11.1" customHeight="1" x14ac:dyDescent="0.25">
      <c r="A1084" s="630" t="s">
        <v>4406</v>
      </c>
      <c r="B1084" s="630"/>
      <c r="C1084" s="630"/>
      <c r="M1084" s="630" t="s">
        <v>1546</v>
      </c>
      <c r="N1084" s="630"/>
      <c r="O1084" s="630"/>
      <c r="P1084" s="630"/>
      <c r="Q1084" s="627">
        <v>512981.13</v>
      </c>
      <c r="R1084" s="627"/>
      <c r="T1084" s="631">
        <v>69939.94</v>
      </c>
      <c r="U1084" s="631"/>
      <c r="V1084" s="631"/>
      <c r="Y1084" s="631">
        <v>0</v>
      </c>
      <c r="Z1084" s="631"/>
      <c r="AA1084" s="631"/>
      <c r="AB1084" s="631"/>
      <c r="AC1084" s="631"/>
      <c r="AD1084" s="631"/>
      <c r="AF1084" s="627">
        <v>582921.06999999995</v>
      </c>
      <c r="AG1084" s="627"/>
      <c r="AH1084" s="627"/>
      <c r="AI1084" s="627"/>
      <c r="AJ1084" s="627"/>
      <c r="AK1084" s="627"/>
      <c r="AL1084" s="627"/>
    </row>
    <row r="1085" spans="1:38" ht="11.1" customHeight="1" x14ac:dyDescent="0.25">
      <c r="A1085" s="630" t="s">
        <v>4407</v>
      </c>
      <c r="B1085" s="630"/>
      <c r="C1085" s="630"/>
      <c r="L1085" s="630" t="s">
        <v>1529</v>
      </c>
      <c r="M1085" s="630"/>
      <c r="N1085" s="630"/>
      <c r="O1085" s="630"/>
      <c r="P1085" s="630"/>
      <c r="Q1085" s="627">
        <v>367982.48</v>
      </c>
      <c r="R1085" s="627"/>
      <c r="T1085" s="631">
        <v>44313.26</v>
      </c>
      <c r="U1085" s="631"/>
      <c r="V1085" s="631"/>
      <c r="Y1085" s="631">
        <v>0</v>
      </c>
      <c r="Z1085" s="631"/>
      <c r="AA1085" s="631"/>
      <c r="AB1085" s="631"/>
      <c r="AC1085" s="631"/>
      <c r="AD1085" s="631"/>
      <c r="AF1085" s="627">
        <v>412295.74</v>
      </c>
      <c r="AG1085" s="627"/>
      <c r="AH1085" s="627"/>
      <c r="AI1085" s="627"/>
      <c r="AJ1085" s="627"/>
      <c r="AK1085" s="627"/>
      <c r="AL1085" s="627"/>
    </row>
    <row r="1086" spans="1:38" ht="11.1" customHeight="1" x14ac:dyDescent="0.25">
      <c r="A1086" s="630" t="s">
        <v>4408</v>
      </c>
      <c r="B1086" s="630"/>
      <c r="C1086" s="630"/>
      <c r="M1086" s="630" t="s">
        <v>2371</v>
      </c>
      <c r="N1086" s="630"/>
      <c r="O1086" s="630"/>
      <c r="P1086" s="630"/>
      <c r="Q1086" s="627">
        <v>367982.48</v>
      </c>
      <c r="R1086" s="627"/>
      <c r="T1086" s="631">
        <v>44313.26</v>
      </c>
      <c r="U1086" s="631"/>
      <c r="V1086" s="631"/>
      <c r="Y1086" s="631">
        <v>0</v>
      </c>
      <c r="Z1086" s="631"/>
      <c r="AA1086" s="631"/>
      <c r="AB1086" s="631"/>
      <c r="AC1086" s="631"/>
      <c r="AD1086" s="631"/>
      <c r="AF1086" s="627">
        <v>412295.74</v>
      </c>
      <c r="AG1086" s="627"/>
      <c r="AH1086" s="627"/>
      <c r="AI1086" s="627"/>
      <c r="AJ1086" s="627"/>
      <c r="AK1086" s="627"/>
      <c r="AL1086" s="627"/>
    </row>
    <row r="1087" spans="1:38" ht="11.1" customHeight="1" x14ac:dyDescent="0.25">
      <c r="A1087" s="630" t="s">
        <v>4409</v>
      </c>
      <c r="B1087" s="630"/>
      <c r="C1087" s="630"/>
      <c r="K1087" s="630" t="s">
        <v>216</v>
      </c>
      <c r="L1087" s="630"/>
      <c r="M1087" s="630"/>
      <c r="N1087" s="630"/>
      <c r="O1087" s="630"/>
      <c r="P1087" s="630"/>
      <c r="Q1087" s="627">
        <v>4058292.3</v>
      </c>
      <c r="R1087" s="627"/>
      <c r="T1087" s="631">
        <v>526526.93999999994</v>
      </c>
      <c r="U1087" s="631"/>
      <c r="V1087" s="631"/>
      <c r="Y1087" s="631">
        <v>0</v>
      </c>
      <c r="Z1087" s="631"/>
      <c r="AA1087" s="631"/>
      <c r="AB1087" s="631"/>
      <c r="AC1087" s="631"/>
      <c r="AD1087" s="631"/>
      <c r="AF1087" s="627">
        <v>4584819.24</v>
      </c>
      <c r="AG1087" s="627"/>
      <c r="AH1087" s="627"/>
      <c r="AI1087" s="627"/>
      <c r="AJ1087" s="627"/>
      <c r="AK1087" s="627"/>
      <c r="AL1087" s="627"/>
    </row>
    <row r="1088" spans="1:38" ht="11.1" customHeight="1" x14ac:dyDescent="0.25">
      <c r="A1088" s="630" t="s">
        <v>4410</v>
      </c>
      <c r="B1088" s="630"/>
      <c r="C1088" s="630"/>
      <c r="L1088" s="630" t="s">
        <v>1534</v>
      </c>
      <c r="M1088" s="630"/>
      <c r="N1088" s="630"/>
      <c r="O1088" s="630"/>
      <c r="P1088" s="630"/>
      <c r="Q1088" s="627">
        <v>2363342.67</v>
      </c>
      <c r="R1088" s="627"/>
      <c r="T1088" s="631">
        <v>322417.38</v>
      </c>
      <c r="U1088" s="631"/>
      <c r="V1088" s="631"/>
      <c r="Y1088" s="631">
        <v>0</v>
      </c>
      <c r="Z1088" s="631"/>
      <c r="AA1088" s="631"/>
      <c r="AB1088" s="631"/>
      <c r="AC1088" s="631"/>
      <c r="AD1088" s="631"/>
      <c r="AF1088" s="627">
        <v>2685760.05</v>
      </c>
      <c r="AG1088" s="627"/>
      <c r="AH1088" s="627"/>
      <c r="AI1088" s="627"/>
      <c r="AJ1088" s="627"/>
      <c r="AK1088" s="627"/>
      <c r="AL1088" s="627"/>
    </row>
    <row r="1089" spans="1:38" ht="11.1" customHeight="1" x14ac:dyDescent="0.25">
      <c r="A1089" s="630" t="s">
        <v>4411</v>
      </c>
      <c r="B1089" s="630"/>
      <c r="C1089" s="630"/>
      <c r="M1089" s="630" t="s">
        <v>1550</v>
      </c>
      <c r="N1089" s="630"/>
      <c r="O1089" s="630"/>
      <c r="P1089" s="630"/>
      <c r="Q1089" s="627">
        <v>2363342.67</v>
      </c>
      <c r="R1089" s="627"/>
      <c r="T1089" s="631">
        <v>322417.38</v>
      </c>
      <c r="U1089" s="631"/>
      <c r="V1089" s="631"/>
      <c r="Y1089" s="631">
        <v>0</v>
      </c>
      <c r="Z1089" s="631"/>
      <c r="AA1089" s="631"/>
      <c r="AB1089" s="631"/>
      <c r="AC1089" s="631"/>
      <c r="AD1089" s="631"/>
      <c r="AF1089" s="627">
        <v>2685760.05</v>
      </c>
      <c r="AG1089" s="627"/>
      <c r="AH1089" s="627"/>
      <c r="AI1089" s="627"/>
      <c r="AJ1089" s="627"/>
      <c r="AK1089" s="627"/>
      <c r="AL1089" s="627"/>
    </row>
    <row r="1090" spans="1:38" ht="11.1" customHeight="1" x14ac:dyDescent="0.25">
      <c r="A1090" s="630" t="s">
        <v>4412</v>
      </c>
      <c r="B1090" s="630"/>
      <c r="C1090" s="630"/>
      <c r="L1090" s="630" t="s">
        <v>1529</v>
      </c>
      <c r="M1090" s="630"/>
      <c r="N1090" s="630"/>
      <c r="O1090" s="630"/>
      <c r="P1090" s="630"/>
      <c r="Q1090" s="627">
        <v>1694949.63</v>
      </c>
      <c r="R1090" s="627"/>
      <c r="T1090" s="631">
        <v>204109.56</v>
      </c>
      <c r="U1090" s="631"/>
      <c r="V1090" s="631"/>
      <c r="Y1090" s="631">
        <v>0</v>
      </c>
      <c r="Z1090" s="631"/>
      <c r="AA1090" s="631"/>
      <c r="AB1090" s="631"/>
      <c r="AC1090" s="631"/>
      <c r="AD1090" s="631"/>
      <c r="AF1090" s="627">
        <v>1899059.19</v>
      </c>
      <c r="AG1090" s="627"/>
      <c r="AH1090" s="627"/>
      <c r="AI1090" s="627"/>
      <c r="AJ1090" s="627"/>
      <c r="AK1090" s="627"/>
      <c r="AL1090" s="627"/>
    </row>
    <row r="1091" spans="1:38" ht="11.1" customHeight="1" x14ac:dyDescent="0.25">
      <c r="A1091" s="630" t="s">
        <v>4413</v>
      </c>
      <c r="B1091" s="630"/>
      <c r="C1091" s="630"/>
      <c r="M1091" s="630" t="s">
        <v>2374</v>
      </c>
      <c r="N1091" s="630"/>
      <c r="O1091" s="630"/>
      <c r="P1091" s="630"/>
      <c r="Q1091" s="627">
        <v>1694949.63</v>
      </c>
      <c r="R1091" s="627"/>
      <c r="T1091" s="631">
        <v>204109.56</v>
      </c>
      <c r="U1091" s="631"/>
      <c r="V1091" s="631"/>
      <c r="Y1091" s="631">
        <v>0</v>
      </c>
      <c r="Z1091" s="631"/>
      <c r="AA1091" s="631"/>
      <c r="AB1091" s="631"/>
      <c r="AC1091" s="631"/>
      <c r="AD1091" s="631"/>
      <c r="AF1091" s="627">
        <v>1899059.19</v>
      </c>
      <c r="AG1091" s="627"/>
      <c r="AH1091" s="627"/>
      <c r="AI1091" s="627"/>
      <c r="AJ1091" s="627"/>
      <c r="AK1091" s="627"/>
      <c r="AL1091" s="627"/>
    </row>
    <row r="1092" spans="1:38" ht="11.1" customHeight="1" x14ac:dyDescent="0.25">
      <c r="A1092" s="630" t="s">
        <v>4414</v>
      </c>
      <c r="B1092" s="630"/>
      <c r="C1092" s="630"/>
      <c r="K1092" s="630" t="s">
        <v>1065</v>
      </c>
      <c r="L1092" s="630"/>
      <c r="M1092" s="630"/>
      <c r="N1092" s="630"/>
      <c r="O1092" s="630"/>
      <c r="P1092" s="630"/>
      <c r="Q1092" s="627">
        <v>1284739.05</v>
      </c>
      <c r="R1092" s="627"/>
      <c r="T1092" s="631">
        <v>119421.12</v>
      </c>
      <c r="U1092" s="631"/>
      <c r="V1092" s="631"/>
      <c r="Y1092" s="631">
        <v>0</v>
      </c>
      <c r="Z1092" s="631"/>
      <c r="AA1092" s="631"/>
      <c r="AB1092" s="631"/>
      <c r="AC1092" s="631"/>
      <c r="AD1092" s="631"/>
      <c r="AF1092" s="627">
        <v>1404160.17</v>
      </c>
      <c r="AG1092" s="627"/>
      <c r="AH1092" s="627"/>
      <c r="AI1092" s="627"/>
      <c r="AJ1092" s="627"/>
      <c r="AK1092" s="627"/>
      <c r="AL1092" s="627"/>
    </row>
    <row r="1093" spans="1:38" ht="11.1" customHeight="1" x14ac:dyDescent="0.25">
      <c r="A1093" s="630" t="s">
        <v>4415</v>
      </c>
      <c r="B1093" s="630"/>
      <c r="C1093" s="630"/>
      <c r="L1093" s="630" t="s">
        <v>1529</v>
      </c>
      <c r="M1093" s="630"/>
      <c r="N1093" s="630"/>
      <c r="O1093" s="630"/>
      <c r="P1093" s="630"/>
      <c r="Q1093" s="627">
        <v>1284739.05</v>
      </c>
      <c r="R1093" s="627"/>
      <c r="T1093" s="631">
        <v>119421.12</v>
      </c>
      <c r="U1093" s="631"/>
      <c r="V1093" s="631"/>
      <c r="Y1093" s="631">
        <v>0</v>
      </c>
      <c r="Z1093" s="631"/>
      <c r="AA1093" s="631"/>
      <c r="AB1093" s="631"/>
      <c r="AC1093" s="631"/>
      <c r="AD1093" s="631"/>
      <c r="AF1093" s="627">
        <v>1404160.17</v>
      </c>
      <c r="AG1093" s="627"/>
      <c r="AH1093" s="627"/>
      <c r="AI1093" s="627"/>
      <c r="AJ1093" s="627"/>
      <c r="AK1093" s="627"/>
      <c r="AL1093" s="627"/>
    </row>
    <row r="1094" spans="1:38" ht="11.1" customHeight="1" x14ac:dyDescent="0.25">
      <c r="A1094" s="630" t="s">
        <v>4416</v>
      </c>
      <c r="B1094" s="630"/>
      <c r="C1094" s="630"/>
      <c r="M1094" s="630" t="s">
        <v>1554</v>
      </c>
      <c r="N1094" s="630"/>
      <c r="O1094" s="630"/>
      <c r="P1094" s="630"/>
      <c r="Q1094" s="627">
        <v>1284739.05</v>
      </c>
      <c r="R1094" s="627"/>
      <c r="T1094" s="631">
        <v>119421.12</v>
      </c>
      <c r="U1094" s="631"/>
      <c r="V1094" s="631"/>
      <c r="Y1094" s="631">
        <v>0</v>
      </c>
      <c r="Z1094" s="631"/>
      <c r="AA1094" s="631"/>
      <c r="AB1094" s="631"/>
      <c r="AC1094" s="631"/>
      <c r="AD1094" s="631"/>
      <c r="AF1094" s="627">
        <v>1404160.17</v>
      </c>
      <c r="AG1094" s="627"/>
      <c r="AH1094" s="627"/>
      <c r="AI1094" s="627"/>
      <c r="AJ1094" s="627"/>
      <c r="AK1094" s="627"/>
      <c r="AL1094" s="627"/>
    </row>
    <row r="1095" spans="1:38" ht="11.1" customHeight="1" x14ac:dyDescent="0.25">
      <c r="A1095" s="632" t="s">
        <v>4417</v>
      </c>
      <c r="B1095" s="632"/>
      <c r="C1095" s="632"/>
      <c r="H1095" s="632" t="s">
        <v>1556</v>
      </c>
      <c r="I1095" s="632"/>
      <c r="J1095" s="632"/>
      <c r="K1095" s="632"/>
      <c r="L1095" s="632"/>
      <c r="M1095" s="632"/>
      <c r="N1095" s="632"/>
      <c r="O1095" s="632"/>
      <c r="P1095" s="632"/>
      <c r="Q1095" s="633">
        <v>50305054.009999998</v>
      </c>
      <c r="R1095" s="633"/>
      <c r="T1095" s="634">
        <v>12532065.93</v>
      </c>
      <c r="U1095" s="634"/>
      <c r="V1095" s="634"/>
      <c r="Y1095" s="634">
        <v>5422267.1600000001</v>
      </c>
      <c r="Z1095" s="634"/>
      <c r="AA1095" s="634"/>
      <c r="AB1095" s="634"/>
      <c r="AC1095" s="634"/>
      <c r="AD1095" s="634"/>
      <c r="AF1095" s="633">
        <v>57414852.780000001</v>
      </c>
      <c r="AG1095" s="633"/>
      <c r="AH1095" s="633"/>
      <c r="AI1095" s="633"/>
      <c r="AJ1095" s="633"/>
      <c r="AK1095" s="633"/>
      <c r="AL1095" s="633"/>
    </row>
    <row r="1096" spans="1:38" ht="11.1" customHeight="1" x14ac:dyDescent="0.25">
      <c r="A1096" s="632" t="s">
        <v>4418</v>
      </c>
      <c r="B1096" s="632"/>
      <c r="C1096" s="632"/>
      <c r="I1096" s="632" t="s">
        <v>581</v>
      </c>
      <c r="J1096" s="632"/>
      <c r="K1096" s="632"/>
      <c r="L1096" s="632"/>
      <c r="M1096" s="632"/>
      <c r="N1096" s="632"/>
      <c r="O1096" s="632"/>
      <c r="P1096" s="632"/>
      <c r="Q1096" s="633">
        <v>21778067.920000002</v>
      </c>
      <c r="R1096" s="633"/>
      <c r="T1096" s="634">
        <v>985775.89</v>
      </c>
      <c r="U1096" s="634"/>
      <c r="V1096" s="634"/>
      <c r="Y1096" s="634">
        <v>1935698.36</v>
      </c>
      <c r="Z1096" s="634"/>
      <c r="AA1096" s="634"/>
      <c r="AB1096" s="634"/>
      <c r="AC1096" s="634"/>
      <c r="AD1096" s="634"/>
      <c r="AF1096" s="633">
        <v>20828145.449999999</v>
      </c>
      <c r="AG1096" s="633"/>
      <c r="AH1096" s="633"/>
      <c r="AI1096" s="633"/>
      <c r="AJ1096" s="633"/>
      <c r="AK1096" s="633"/>
      <c r="AL1096" s="633"/>
    </row>
    <row r="1097" spans="1:38" ht="11.1" customHeight="1" x14ac:dyDescent="0.25">
      <c r="A1097" s="632" t="s">
        <v>4419</v>
      </c>
      <c r="B1097" s="632"/>
      <c r="C1097" s="632"/>
      <c r="J1097" s="632" t="s">
        <v>1559</v>
      </c>
      <c r="K1097" s="632"/>
      <c r="L1097" s="632"/>
      <c r="M1097" s="632"/>
      <c r="N1097" s="632"/>
      <c r="O1097" s="632"/>
      <c r="P1097" s="632"/>
      <c r="Q1097" s="633">
        <v>1637615.89</v>
      </c>
      <c r="R1097" s="633"/>
      <c r="T1097" s="634">
        <v>174387.08</v>
      </c>
      <c r="U1097" s="634"/>
      <c r="V1097" s="634"/>
      <c r="Y1097" s="634">
        <v>11574.46</v>
      </c>
      <c r="Z1097" s="634"/>
      <c r="AA1097" s="634"/>
      <c r="AB1097" s="634"/>
      <c r="AC1097" s="634"/>
      <c r="AD1097" s="634"/>
      <c r="AF1097" s="633">
        <v>1800428.51</v>
      </c>
      <c r="AG1097" s="633"/>
      <c r="AH1097" s="633"/>
      <c r="AI1097" s="633"/>
      <c r="AJ1097" s="633"/>
      <c r="AK1097" s="633"/>
      <c r="AL1097" s="633"/>
    </row>
    <row r="1098" spans="1:38" ht="11.1" customHeight="1" x14ac:dyDescent="0.25">
      <c r="A1098" s="630" t="s">
        <v>4420</v>
      </c>
      <c r="B1098" s="630"/>
      <c r="C1098" s="630"/>
      <c r="K1098" s="630" t="s">
        <v>1559</v>
      </c>
      <c r="L1098" s="630"/>
      <c r="M1098" s="630"/>
      <c r="N1098" s="630"/>
      <c r="O1098" s="630"/>
      <c r="P1098" s="630"/>
      <c r="Q1098" s="627">
        <v>1792564.69</v>
      </c>
      <c r="R1098" s="627"/>
      <c r="T1098" s="631">
        <v>174387.08</v>
      </c>
      <c r="U1098" s="631"/>
      <c r="V1098" s="631"/>
      <c r="Y1098" s="631">
        <v>0</v>
      </c>
      <c r="Z1098" s="631"/>
      <c r="AA1098" s="631"/>
      <c r="AB1098" s="631"/>
      <c r="AC1098" s="631"/>
      <c r="AD1098" s="631"/>
      <c r="AF1098" s="627">
        <v>1966951.77</v>
      </c>
      <c r="AG1098" s="627"/>
      <c r="AH1098" s="627"/>
      <c r="AI1098" s="627"/>
      <c r="AJ1098" s="627"/>
      <c r="AK1098" s="627"/>
      <c r="AL1098" s="627"/>
    </row>
    <row r="1099" spans="1:38" ht="11.1" customHeight="1" x14ac:dyDescent="0.25">
      <c r="A1099" s="630" t="s">
        <v>4421</v>
      </c>
      <c r="B1099" s="630"/>
      <c r="C1099" s="630"/>
      <c r="L1099" s="630" t="s">
        <v>586</v>
      </c>
      <c r="M1099" s="630"/>
      <c r="N1099" s="630"/>
      <c r="O1099" s="630"/>
      <c r="P1099" s="630"/>
      <c r="Q1099" s="627">
        <v>51730.53</v>
      </c>
      <c r="R1099" s="627"/>
      <c r="T1099" s="631">
        <v>4059.7</v>
      </c>
      <c r="U1099" s="631"/>
      <c r="V1099" s="631"/>
      <c r="Y1099" s="631">
        <v>0</v>
      </c>
      <c r="Z1099" s="631"/>
      <c r="AA1099" s="631"/>
      <c r="AB1099" s="631"/>
      <c r="AC1099" s="631"/>
      <c r="AD1099" s="631"/>
      <c r="AF1099" s="627">
        <v>55790.23</v>
      </c>
      <c r="AG1099" s="627"/>
      <c r="AH1099" s="627"/>
      <c r="AI1099" s="627"/>
      <c r="AJ1099" s="627"/>
      <c r="AK1099" s="627"/>
      <c r="AL1099" s="627"/>
    </row>
    <row r="1100" spans="1:38" ht="11.1" customHeight="1" x14ac:dyDescent="0.25">
      <c r="A1100" s="630" t="s">
        <v>4422</v>
      </c>
      <c r="B1100" s="630"/>
      <c r="C1100" s="630"/>
      <c r="M1100" s="630" t="s">
        <v>1563</v>
      </c>
      <c r="N1100" s="630"/>
      <c r="O1100" s="630"/>
      <c r="P1100" s="630"/>
      <c r="Q1100" s="627">
        <v>51730.53</v>
      </c>
      <c r="R1100" s="627"/>
      <c r="T1100" s="631">
        <v>4059.7</v>
      </c>
      <c r="U1100" s="631"/>
      <c r="V1100" s="631"/>
      <c r="Y1100" s="631">
        <v>0</v>
      </c>
      <c r="Z1100" s="631"/>
      <c r="AA1100" s="631"/>
      <c r="AB1100" s="631"/>
      <c r="AC1100" s="631"/>
      <c r="AD1100" s="631"/>
      <c r="AF1100" s="627">
        <v>55790.23</v>
      </c>
      <c r="AG1100" s="627"/>
      <c r="AH1100" s="627"/>
      <c r="AI1100" s="627"/>
      <c r="AJ1100" s="627"/>
      <c r="AK1100" s="627"/>
      <c r="AL1100" s="627"/>
    </row>
    <row r="1101" spans="1:38" ht="11.1" customHeight="1" x14ac:dyDescent="0.25">
      <c r="A1101" s="630" t="s">
        <v>4423</v>
      </c>
      <c r="B1101" s="630"/>
      <c r="C1101" s="630"/>
      <c r="L1101" s="630" t="s">
        <v>302</v>
      </c>
      <c r="M1101" s="630"/>
      <c r="N1101" s="630"/>
      <c r="O1101" s="630"/>
      <c r="P1101" s="630"/>
      <c r="Q1101" s="627">
        <v>1338376.42</v>
      </c>
      <c r="R1101" s="627"/>
      <c r="T1101" s="631">
        <v>134231.74</v>
      </c>
      <c r="U1101" s="631"/>
      <c r="V1101" s="631"/>
      <c r="Y1101" s="631">
        <v>0</v>
      </c>
      <c r="Z1101" s="631"/>
      <c r="AA1101" s="631"/>
      <c r="AB1101" s="631"/>
      <c r="AC1101" s="631"/>
      <c r="AD1101" s="631"/>
      <c r="AF1101" s="627">
        <v>1472608.16</v>
      </c>
      <c r="AG1101" s="627"/>
      <c r="AH1101" s="627"/>
      <c r="AI1101" s="627"/>
      <c r="AJ1101" s="627"/>
      <c r="AK1101" s="627"/>
      <c r="AL1101" s="627"/>
    </row>
    <row r="1102" spans="1:38" ht="11.1" customHeight="1" x14ac:dyDescent="0.25">
      <c r="A1102" s="630" t="s">
        <v>4424</v>
      </c>
      <c r="B1102" s="630"/>
      <c r="C1102" s="630"/>
      <c r="M1102" s="630" t="s">
        <v>1563</v>
      </c>
      <c r="N1102" s="630"/>
      <c r="O1102" s="630"/>
      <c r="P1102" s="630"/>
      <c r="Q1102" s="627">
        <v>1338376.42</v>
      </c>
      <c r="R1102" s="627"/>
      <c r="T1102" s="631">
        <v>134231.74</v>
      </c>
      <c r="U1102" s="631"/>
      <c r="V1102" s="631"/>
      <c r="Y1102" s="631">
        <v>0</v>
      </c>
      <c r="Z1102" s="631"/>
      <c r="AA1102" s="631"/>
      <c r="AB1102" s="631"/>
      <c r="AC1102" s="631"/>
      <c r="AD1102" s="631"/>
      <c r="AF1102" s="627">
        <v>1472608.16</v>
      </c>
      <c r="AG1102" s="627"/>
      <c r="AH1102" s="627"/>
      <c r="AI1102" s="627"/>
      <c r="AJ1102" s="627"/>
      <c r="AK1102" s="627"/>
      <c r="AL1102" s="627"/>
    </row>
    <row r="1103" spans="1:38" ht="11.1" customHeight="1" x14ac:dyDescent="0.25">
      <c r="A1103" s="630" t="s">
        <v>4425</v>
      </c>
      <c r="B1103" s="630"/>
      <c r="C1103" s="630"/>
      <c r="L1103" s="630" t="s">
        <v>591</v>
      </c>
      <c r="M1103" s="630"/>
      <c r="N1103" s="630"/>
      <c r="O1103" s="630"/>
      <c r="P1103" s="630"/>
      <c r="Q1103" s="627">
        <v>402457.74</v>
      </c>
      <c r="R1103" s="627"/>
      <c r="T1103" s="631">
        <v>36095.64</v>
      </c>
      <c r="U1103" s="631"/>
      <c r="V1103" s="631"/>
      <c r="Y1103" s="631">
        <v>0</v>
      </c>
      <c r="Z1103" s="631"/>
      <c r="AA1103" s="631"/>
      <c r="AB1103" s="631"/>
      <c r="AC1103" s="631"/>
      <c r="AD1103" s="631"/>
      <c r="AF1103" s="627">
        <v>438553.38</v>
      </c>
      <c r="AG1103" s="627"/>
      <c r="AH1103" s="627"/>
      <c r="AI1103" s="627"/>
      <c r="AJ1103" s="627"/>
      <c r="AK1103" s="627"/>
      <c r="AL1103" s="627"/>
    </row>
    <row r="1104" spans="1:38" ht="11.1" customHeight="1" x14ac:dyDescent="0.25">
      <c r="A1104" s="630" t="s">
        <v>4426</v>
      </c>
      <c r="B1104" s="630"/>
      <c r="C1104" s="630"/>
      <c r="M1104" s="630" t="s">
        <v>2286</v>
      </c>
      <c r="N1104" s="630"/>
      <c r="O1104" s="630"/>
      <c r="P1104" s="630"/>
      <c r="Q1104" s="627">
        <v>402457.74</v>
      </c>
      <c r="R1104" s="627"/>
      <c r="T1104" s="631">
        <v>36095.64</v>
      </c>
      <c r="U1104" s="631"/>
      <c r="V1104" s="631"/>
      <c r="Y1104" s="631">
        <v>0</v>
      </c>
      <c r="Z1104" s="631"/>
      <c r="AA1104" s="631"/>
      <c r="AB1104" s="631"/>
      <c r="AC1104" s="631"/>
      <c r="AD1104" s="631"/>
      <c r="AF1104" s="627">
        <v>438553.38</v>
      </c>
      <c r="AG1104" s="627"/>
      <c r="AH1104" s="627"/>
      <c r="AI1104" s="627"/>
      <c r="AJ1104" s="627"/>
      <c r="AK1104" s="627"/>
      <c r="AL1104" s="627"/>
    </row>
    <row r="1105" spans="1:38" ht="11.1" customHeight="1" x14ac:dyDescent="0.25">
      <c r="A1105" s="630" t="s">
        <v>4427</v>
      </c>
      <c r="B1105" s="630"/>
      <c r="C1105" s="630"/>
      <c r="K1105" s="630" t="s">
        <v>2921</v>
      </c>
      <c r="L1105" s="630"/>
      <c r="M1105" s="630"/>
      <c r="N1105" s="630"/>
      <c r="O1105" s="630"/>
      <c r="P1105" s="630"/>
      <c r="Q1105" s="627">
        <v>-154948.79999999999</v>
      </c>
      <c r="R1105" s="627"/>
      <c r="T1105" s="631">
        <v>0</v>
      </c>
      <c r="U1105" s="631"/>
      <c r="V1105" s="631"/>
      <c r="Y1105" s="631">
        <v>11574.46</v>
      </c>
      <c r="Z1105" s="631"/>
      <c r="AA1105" s="631"/>
      <c r="AB1105" s="631"/>
      <c r="AC1105" s="631"/>
      <c r="AD1105" s="631"/>
      <c r="AF1105" s="627">
        <v>-166523.26</v>
      </c>
      <c r="AG1105" s="627"/>
      <c r="AH1105" s="627"/>
      <c r="AI1105" s="627"/>
      <c r="AJ1105" s="627"/>
      <c r="AK1105" s="627"/>
      <c r="AL1105" s="627"/>
    </row>
    <row r="1106" spans="1:38" ht="11.1" customHeight="1" x14ac:dyDescent="0.25">
      <c r="A1106" s="630" t="s">
        <v>4428</v>
      </c>
      <c r="B1106" s="630"/>
      <c r="C1106" s="630"/>
      <c r="L1106" s="630" t="s">
        <v>586</v>
      </c>
      <c r="M1106" s="630"/>
      <c r="N1106" s="630"/>
      <c r="O1106" s="630"/>
      <c r="P1106" s="630"/>
      <c r="Q1106" s="627">
        <v>-4433.16</v>
      </c>
      <c r="R1106" s="627"/>
      <c r="T1106" s="631">
        <v>0</v>
      </c>
      <c r="U1106" s="631"/>
      <c r="V1106" s="631"/>
      <c r="Y1106" s="631">
        <v>269.45</v>
      </c>
      <c r="Z1106" s="631"/>
      <c r="AA1106" s="631"/>
      <c r="AB1106" s="631"/>
      <c r="AC1106" s="631"/>
      <c r="AD1106" s="631"/>
      <c r="AF1106" s="627">
        <v>-4702.6099999999997</v>
      </c>
      <c r="AG1106" s="627"/>
      <c r="AH1106" s="627"/>
      <c r="AI1106" s="627"/>
      <c r="AJ1106" s="627"/>
      <c r="AK1106" s="627"/>
      <c r="AL1106" s="627"/>
    </row>
    <row r="1107" spans="1:38" ht="11.1" customHeight="1" x14ac:dyDescent="0.25">
      <c r="A1107" s="630" t="s">
        <v>4429</v>
      </c>
      <c r="B1107" s="630"/>
      <c r="C1107" s="630"/>
      <c r="M1107" s="630" t="s">
        <v>2284</v>
      </c>
      <c r="N1107" s="630"/>
      <c r="O1107" s="630"/>
      <c r="P1107" s="630"/>
      <c r="Q1107" s="627">
        <v>-4433.16</v>
      </c>
      <c r="R1107" s="627"/>
      <c r="T1107" s="631">
        <v>0</v>
      </c>
      <c r="U1107" s="631"/>
      <c r="V1107" s="631"/>
      <c r="Y1107" s="631">
        <v>269.45</v>
      </c>
      <c r="Z1107" s="631"/>
      <c r="AA1107" s="631"/>
      <c r="AB1107" s="631"/>
      <c r="AC1107" s="631"/>
      <c r="AD1107" s="631"/>
      <c r="AF1107" s="627">
        <v>-4702.6099999999997</v>
      </c>
      <c r="AG1107" s="627"/>
      <c r="AH1107" s="627"/>
      <c r="AI1107" s="627"/>
      <c r="AJ1107" s="627"/>
      <c r="AK1107" s="627"/>
      <c r="AL1107" s="627"/>
    </row>
    <row r="1108" spans="1:38" ht="11.1" customHeight="1" x14ac:dyDescent="0.25">
      <c r="A1108" s="630" t="s">
        <v>4430</v>
      </c>
      <c r="B1108" s="630"/>
      <c r="C1108" s="630"/>
      <c r="L1108" s="630" t="s">
        <v>302</v>
      </c>
      <c r="M1108" s="630"/>
      <c r="N1108" s="630"/>
      <c r="O1108" s="630"/>
      <c r="P1108" s="630"/>
      <c r="Q1108" s="627">
        <v>-115729.31</v>
      </c>
      <c r="R1108" s="627"/>
      <c r="T1108" s="631">
        <v>0</v>
      </c>
      <c r="U1108" s="631"/>
      <c r="V1108" s="631"/>
      <c r="Y1108" s="631">
        <v>8909.26</v>
      </c>
      <c r="Z1108" s="631"/>
      <c r="AA1108" s="631"/>
      <c r="AB1108" s="631"/>
      <c r="AC1108" s="631"/>
      <c r="AD1108" s="631"/>
      <c r="AF1108" s="627">
        <v>-124638.57</v>
      </c>
      <c r="AG1108" s="627"/>
      <c r="AH1108" s="627"/>
      <c r="AI1108" s="627"/>
      <c r="AJ1108" s="627"/>
      <c r="AK1108" s="627"/>
      <c r="AL1108" s="627"/>
    </row>
    <row r="1109" spans="1:38" ht="11.1" customHeight="1" x14ac:dyDescent="0.25">
      <c r="A1109" s="630" t="s">
        <v>4431</v>
      </c>
      <c r="B1109" s="630"/>
      <c r="C1109" s="630"/>
      <c r="M1109" s="630" t="s">
        <v>2284</v>
      </c>
      <c r="N1109" s="630"/>
      <c r="O1109" s="630"/>
      <c r="P1109" s="630"/>
      <c r="Q1109" s="627">
        <v>-115729.31</v>
      </c>
      <c r="R1109" s="627"/>
      <c r="T1109" s="631">
        <v>0</v>
      </c>
      <c r="U1109" s="631"/>
      <c r="V1109" s="631"/>
      <c r="Y1109" s="631">
        <v>8909.26</v>
      </c>
      <c r="Z1109" s="631"/>
      <c r="AA1109" s="631"/>
      <c r="AB1109" s="631"/>
      <c r="AC1109" s="631"/>
      <c r="AD1109" s="631"/>
      <c r="AF1109" s="627">
        <v>-124638.57</v>
      </c>
      <c r="AG1109" s="627"/>
      <c r="AH1109" s="627"/>
      <c r="AI1109" s="627"/>
      <c r="AJ1109" s="627"/>
      <c r="AK1109" s="627"/>
      <c r="AL1109" s="627"/>
    </row>
    <row r="1110" spans="1:38" ht="11.1" customHeight="1" x14ac:dyDescent="0.25">
      <c r="A1110" s="630" t="s">
        <v>4432</v>
      </c>
      <c r="B1110" s="630"/>
      <c r="C1110" s="630"/>
      <c r="L1110" s="630" t="s">
        <v>591</v>
      </c>
      <c r="M1110" s="630"/>
      <c r="N1110" s="630"/>
      <c r="O1110" s="630"/>
      <c r="P1110" s="630"/>
      <c r="Q1110" s="627">
        <v>-34786.33</v>
      </c>
      <c r="R1110" s="627"/>
      <c r="T1110" s="631">
        <v>0</v>
      </c>
      <c r="U1110" s="631"/>
      <c r="V1110" s="631"/>
      <c r="Y1110" s="631">
        <v>2395.75</v>
      </c>
      <c r="Z1110" s="631"/>
      <c r="AA1110" s="631"/>
      <c r="AB1110" s="631"/>
      <c r="AC1110" s="631"/>
      <c r="AD1110" s="631"/>
      <c r="AF1110" s="627">
        <v>-37182.080000000002</v>
      </c>
      <c r="AG1110" s="627"/>
      <c r="AH1110" s="627"/>
      <c r="AI1110" s="627"/>
      <c r="AJ1110" s="627"/>
      <c r="AK1110" s="627"/>
      <c r="AL1110" s="627"/>
    </row>
    <row r="1111" spans="1:38" ht="11.1" customHeight="1" x14ac:dyDescent="0.25">
      <c r="A1111" s="630" t="s">
        <v>4433</v>
      </c>
      <c r="B1111" s="630"/>
      <c r="C1111" s="630"/>
      <c r="M1111" s="630" t="s">
        <v>2284</v>
      </c>
      <c r="N1111" s="630"/>
      <c r="O1111" s="630"/>
      <c r="P1111" s="630"/>
      <c r="Q1111" s="627">
        <v>-34786.33</v>
      </c>
      <c r="R1111" s="627"/>
      <c r="T1111" s="631">
        <v>0</v>
      </c>
      <c r="U1111" s="631"/>
      <c r="V1111" s="631"/>
      <c r="Y1111" s="631">
        <v>2395.75</v>
      </c>
      <c r="Z1111" s="631"/>
      <c r="AA1111" s="631"/>
      <c r="AB1111" s="631"/>
      <c r="AC1111" s="631"/>
      <c r="AD1111" s="631"/>
      <c r="AF1111" s="627">
        <v>-37182.080000000002</v>
      </c>
      <c r="AG1111" s="627"/>
      <c r="AH1111" s="627"/>
      <c r="AI1111" s="627"/>
      <c r="AJ1111" s="627"/>
      <c r="AK1111" s="627"/>
      <c r="AL1111" s="627"/>
    </row>
    <row r="1112" spans="1:38" ht="11.1" customHeight="1" x14ac:dyDescent="0.25">
      <c r="A1112" s="632" t="s">
        <v>4434</v>
      </c>
      <c r="B1112" s="632"/>
      <c r="C1112" s="632"/>
      <c r="J1112" s="632" t="s">
        <v>1566</v>
      </c>
      <c r="K1112" s="632"/>
      <c r="L1112" s="632"/>
      <c r="M1112" s="632"/>
      <c r="N1112" s="632"/>
      <c r="O1112" s="632"/>
      <c r="P1112" s="632"/>
      <c r="Q1112" s="633">
        <v>2859781.46</v>
      </c>
      <c r="R1112" s="633"/>
      <c r="T1112" s="634">
        <v>267671.84000000003</v>
      </c>
      <c r="U1112" s="634"/>
      <c r="V1112" s="634"/>
      <c r="Y1112" s="634">
        <v>5802.12</v>
      </c>
      <c r="Z1112" s="634"/>
      <c r="AA1112" s="634"/>
      <c r="AB1112" s="634"/>
      <c r="AC1112" s="634"/>
      <c r="AD1112" s="634"/>
      <c r="AF1112" s="633">
        <v>3121651.18</v>
      </c>
      <c r="AG1112" s="633"/>
      <c r="AH1112" s="633"/>
      <c r="AI1112" s="633"/>
      <c r="AJ1112" s="633"/>
      <c r="AK1112" s="633"/>
      <c r="AL1112" s="633"/>
    </row>
    <row r="1113" spans="1:38" ht="11.1" customHeight="1" x14ac:dyDescent="0.25">
      <c r="A1113" s="630" t="s">
        <v>4435</v>
      </c>
      <c r="B1113" s="630"/>
      <c r="C1113" s="630"/>
      <c r="K1113" s="630" t="s">
        <v>1568</v>
      </c>
      <c r="L1113" s="630"/>
      <c r="M1113" s="630"/>
      <c r="N1113" s="630"/>
      <c r="O1113" s="630"/>
      <c r="P1113" s="630"/>
      <c r="Q1113" s="627">
        <v>1689311.15</v>
      </c>
      <c r="R1113" s="627"/>
      <c r="T1113" s="631">
        <v>142326.29999999999</v>
      </c>
      <c r="U1113" s="631"/>
      <c r="V1113" s="631"/>
      <c r="Y1113" s="631">
        <v>5802.08</v>
      </c>
      <c r="Z1113" s="631"/>
      <c r="AA1113" s="631"/>
      <c r="AB1113" s="631"/>
      <c r="AC1113" s="631"/>
      <c r="AD1113" s="631"/>
      <c r="AF1113" s="627">
        <v>1825835.37</v>
      </c>
      <c r="AG1113" s="627"/>
      <c r="AH1113" s="627"/>
      <c r="AI1113" s="627"/>
      <c r="AJ1113" s="627"/>
      <c r="AK1113" s="627"/>
      <c r="AL1113" s="627"/>
    </row>
    <row r="1114" spans="1:38" ht="11.1" customHeight="1" x14ac:dyDescent="0.25">
      <c r="A1114" s="630" t="s">
        <v>4436</v>
      </c>
      <c r="B1114" s="630"/>
      <c r="C1114" s="630"/>
      <c r="L1114" s="630" t="s">
        <v>586</v>
      </c>
      <c r="M1114" s="630"/>
      <c r="N1114" s="630"/>
      <c r="O1114" s="630"/>
      <c r="P1114" s="630"/>
      <c r="Q1114" s="627">
        <v>466727.84</v>
      </c>
      <c r="R1114" s="627"/>
      <c r="T1114" s="631">
        <v>46011.79</v>
      </c>
      <c r="U1114" s="631"/>
      <c r="V1114" s="631"/>
      <c r="Y1114" s="631">
        <v>5802.08</v>
      </c>
      <c r="Z1114" s="631"/>
      <c r="AA1114" s="631"/>
      <c r="AB1114" s="631"/>
      <c r="AC1114" s="631"/>
      <c r="AD1114" s="631"/>
      <c r="AF1114" s="627">
        <v>506937.55</v>
      </c>
      <c r="AG1114" s="627"/>
      <c r="AH1114" s="627"/>
      <c r="AI1114" s="627"/>
      <c r="AJ1114" s="627"/>
      <c r="AK1114" s="627"/>
      <c r="AL1114" s="627"/>
    </row>
    <row r="1115" spans="1:38" ht="11.1" customHeight="1" x14ac:dyDescent="0.25">
      <c r="A1115" s="630" t="s">
        <v>2599</v>
      </c>
      <c r="B1115" s="630"/>
      <c r="C1115" s="630"/>
      <c r="M1115" s="630" t="s">
        <v>1571</v>
      </c>
      <c r="N1115" s="630"/>
      <c r="O1115" s="630"/>
      <c r="P1115" s="630"/>
      <c r="Q1115" s="627">
        <v>338516.9</v>
      </c>
      <c r="R1115" s="627"/>
      <c r="T1115" s="631">
        <v>34211.57</v>
      </c>
      <c r="U1115" s="631"/>
      <c r="V1115" s="631"/>
      <c r="Y1115" s="631">
        <v>5802.08</v>
      </c>
      <c r="Z1115" s="631"/>
      <c r="AA1115" s="631"/>
      <c r="AB1115" s="631"/>
      <c r="AC1115" s="631"/>
      <c r="AD1115" s="631"/>
      <c r="AF1115" s="627">
        <v>366926.39</v>
      </c>
      <c r="AG1115" s="627"/>
      <c r="AH1115" s="627"/>
      <c r="AI1115" s="627"/>
      <c r="AJ1115" s="627"/>
      <c r="AK1115" s="627"/>
      <c r="AL1115" s="627"/>
    </row>
    <row r="1116" spans="1:38" ht="11.1" customHeight="1" x14ac:dyDescent="0.25">
      <c r="A1116" s="630" t="s">
        <v>2600</v>
      </c>
      <c r="B1116" s="630"/>
      <c r="C1116" s="630"/>
      <c r="M1116" s="630" t="s">
        <v>1573</v>
      </c>
      <c r="N1116" s="630"/>
      <c r="O1116" s="630"/>
      <c r="P1116" s="630"/>
      <c r="Q1116" s="627">
        <v>51729.34</v>
      </c>
      <c r="R1116" s="627"/>
      <c r="T1116" s="631">
        <v>2234.75</v>
      </c>
      <c r="U1116" s="631"/>
      <c r="V1116" s="631"/>
      <c r="Y1116" s="631">
        <v>0</v>
      </c>
      <c r="Z1116" s="631"/>
      <c r="AA1116" s="631"/>
      <c r="AB1116" s="631"/>
      <c r="AC1116" s="631"/>
      <c r="AD1116" s="631"/>
      <c r="AF1116" s="627">
        <v>53964.09</v>
      </c>
      <c r="AG1116" s="627"/>
      <c r="AH1116" s="627"/>
      <c r="AI1116" s="627"/>
      <c r="AJ1116" s="627"/>
      <c r="AK1116" s="627"/>
      <c r="AL1116" s="627"/>
    </row>
    <row r="1117" spans="1:38" ht="11.1" customHeight="1" x14ac:dyDescent="0.25">
      <c r="A1117" s="630" t="s">
        <v>2601</v>
      </c>
      <c r="B1117" s="630"/>
      <c r="C1117" s="630"/>
      <c r="M1117" s="630" t="s">
        <v>1575</v>
      </c>
      <c r="N1117" s="630"/>
      <c r="O1117" s="630"/>
      <c r="P1117" s="630"/>
      <c r="Q1117" s="627">
        <v>12806.02</v>
      </c>
      <c r="R1117" s="627"/>
      <c r="T1117" s="631">
        <v>610.08000000000004</v>
      </c>
      <c r="U1117" s="631"/>
      <c r="V1117" s="631"/>
      <c r="Y1117" s="631">
        <v>0</v>
      </c>
      <c r="Z1117" s="631"/>
      <c r="AA1117" s="631"/>
      <c r="AB1117" s="631"/>
      <c r="AC1117" s="631"/>
      <c r="AD1117" s="631"/>
      <c r="AF1117" s="627">
        <v>13416.1</v>
      </c>
      <c r="AG1117" s="627"/>
      <c r="AH1117" s="627"/>
      <c r="AI1117" s="627"/>
      <c r="AJ1117" s="627"/>
      <c r="AK1117" s="627"/>
      <c r="AL1117" s="627"/>
    </row>
    <row r="1118" spans="1:38" ht="11.1" customHeight="1" x14ac:dyDescent="0.25">
      <c r="A1118" s="630" t="s">
        <v>2602</v>
      </c>
      <c r="B1118" s="630"/>
      <c r="C1118" s="630"/>
      <c r="M1118" s="630" t="s">
        <v>1577</v>
      </c>
      <c r="N1118" s="630"/>
      <c r="O1118" s="630"/>
      <c r="P1118" s="630"/>
      <c r="Q1118" s="627">
        <v>3797.26</v>
      </c>
      <c r="R1118" s="627"/>
      <c r="T1118" s="631">
        <v>178.78</v>
      </c>
      <c r="U1118" s="631"/>
      <c r="V1118" s="631"/>
      <c r="Y1118" s="631">
        <v>0</v>
      </c>
      <c r="Z1118" s="631"/>
      <c r="AA1118" s="631"/>
      <c r="AB1118" s="631"/>
      <c r="AC1118" s="631"/>
      <c r="AD1118" s="631"/>
      <c r="AF1118" s="627">
        <v>3976.04</v>
      </c>
      <c r="AG1118" s="627"/>
      <c r="AH1118" s="627"/>
      <c r="AI1118" s="627"/>
      <c r="AJ1118" s="627"/>
      <c r="AK1118" s="627"/>
      <c r="AL1118" s="627"/>
    </row>
    <row r="1119" spans="1:38" ht="11.1" customHeight="1" x14ac:dyDescent="0.25">
      <c r="A1119" s="630" t="s">
        <v>2603</v>
      </c>
      <c r="B1119" s="630"/>
      <c r="C1119" s="630"/>
      <c r="M1119" s="630" t="s">
        <v>1579</v>
      </c>
      <c r="N1119" s="630"/>
      <c r="O1119" s="630"/>
      <c r="P1119" s="630"/>
      <c r="Q1119" s="627">
        <v>32483.21</v>
      </c>
      <c r="R1119" s="627"/>
      <c r="T1119" s="631">
        <v>2873.04</v>
      </c>
      <c r="U1119" s="631"/>
      <c r="V1119" s="631"/>
      <c r="Y1119" s="631">
        <v>0</v>
      </c>
      <c r="Z1119" s="631"/>
      <c r="AA1119" s="631"/>
      <c r="AB1119" s="631"/>
      <c r="AC1119" s="631"/>
      <c r="AD1119" s="631"/>
      <c r="AF1119" s="627">
        <v>35356.25</v>
      </c>
      <c r="AG1119" s="627"/>
      <c r="AH1119" s="627"/>
      <c r="AI1119" s="627"/>
      <c r="AJ1119" s="627"/>
      <c r="AK1119" s="627"/>
      <c r="AL1119" s="627"/>
    </row>
    <row r="1120" spans="1:38" ht="11.1" customHeight="1" x14ac:dyDescent="0.25">
      <c r="A1120" s="630" t="s">
        <v>2604</v>
      </c>
      <c r="B1120" s="630"/>
      <c r="C1120" s="630"/>
      <c r="M1120" s="630" t="s">
        <v>1581</v>
      </c>
      <c r="N1120" s="630"/>
      <c r="O1120" s="630"/>
      <c r="P1120" s="630"/>
      <c r="Q1120" s="627">
        <v>8867.93</v>
      </c>
      <c r="R1120" s="627"/>
      <c r="T1120" s="631">
        <v>784.31</v>
      </c>
      <c r="U1120" s="631"/>
      <c r="V1120" s="631"/>
      <c r="Y1120" s="631">
        <v>0</v>
      </c>
      <c r="Z1120" s="631"/>
      <c r="AA1120" s="631"/>
      <c r="AB1120" s="631"/>
      <c r="AC1120" s="631"/>
      <c r="AD1120" s="631"/>
      <c r="AF1120" s="627">
        <v>9652.24</v>
      </c>
      <c r="AG1120" s="627"/>
      <c r="AH1120" s="627"/>
      <c r="AI1120" s="627"/>
      <c r="AJ1120" s="627"/>
      <c r="AK1120" s="627"/>
      <c r="AL1120" s="627"/>
    </row>
    <row r="1121" spans="1:38" ht="11.1" customHeight="1" x14ac:dyDescent="0.25">
      <c r="A1121" s="630" t="s">
        <v>2605</v>
      </c>
      <c r="B1121" s="630"/>
      <c r="C1121" s="630"/>
      <c r="M1121" s="630" t="s">
        <v>1583</v>
      </c>
      <c r="N1121" s="630"/>
      <c r="O1121" s="630"/>
      <c r="P1121" s="630"/>
      <c r="Q1121" s="627">
        <v>2598.63</v>
      </c>
      <c r="R1121" s="627"/>
      <c r="T1121" s="631">
        <v>229.83</v>
      </c>
      <c r="U1121" s="631"/>
      <c r="V1121" s="631"/>
      <c r="Y1121" s="631">
        <v>0</v>
      </c>
      <c r="Z1121" s="631"/>
      <c r="AA1121" s="631"/>
      <c r="AB1121" s="631"/>
      <c r="AC1121" s="631"/>
      <c r="AD1121" s="631"/>
      <c r="AF1121" s="627">
        <v>2828.46</v>
      </c>
      <c r="AG1121" s="627"/>
      <c r="AH1121" s="627"/>
      <c r="AI1121" s="627"/>
      <c r="AJ1121" s="627"/>
      <c r="AK1121" s="627"/>
      <c r="AL1121" s="627"/>
    </row>
    <row r="1122" spans="1:38" ht="11.1" customHeight="1" x14ac:dyDescent="0.25">
      <c r="A1122" s="630" t="s">
        <v>2606</v>
      </c>
      <c r="B1122" s="630"/>
      <c r="C1122" s="630"/>
      <c r="M1122" s="630" t="s">
        <v>1585</v>
      </c>
      <c r="N1122" s="630"/>
      <c r="O1122" s="630"/>
      <c r="P1122" s="630"/>
      <c r="Q1122" s="627">
        <v>4611.1899999999996</v>
      </c>
      <c r="R1122" s="627"/>
      <c r="T1122" s="631">
        <v>244.9</v>
      </c>
      <c r="U1122" s="631"/>
      <c r="V1122" s="631"/>
      <c r="Y1122" s="631">
        <v>0</v>
      </c>
      <c r="Z1122" s="631"/>
      <c r="AA1122" s="631"/>
      <c r="AB1122" s="631"/>
      <c r="AC1122" s="631"/>
      <c r="AD1122" s="631"/>
      <c r="AF1122" s="627">
        <v>4856.09</v>
      </c>
      <c r="AG1122" s="627"/>
      <c r="AH1122" s="627"/>
      <c r="AI1122" s="627"/>
      <c r="AJ1122" s="627"/>
      <c r="AK1122" s="627"/>
      <c r="AL1122" s="627"/>
    </row>
    <row r="1123" spans="1:38" ht="11.1" customHeight="1" x14ac:dyDescent="0.25">
      <c r="A1123" s="630" t="s">
        <v>2607</v>
      </c>
      <c r="B1123" s="630"/>
      <c r="C1123" s="630"/>
      <c r="M1123" s="630" t="s">
        <v>1587</v>
      </c>
      <c r="N1123" s="630"/>
      <c r="O1123" s="630"/>
      <c r="P1123" s="630"/>
      <c r="Q1123" s="627">
        <v>655.73</v>
      </c>
      <c r="R1123" s="627"/>
      <c r="T1123" s="631">
        <v>26.32</v>
      </c>
      <c r="U1123" s="631"/>
      <c r="V1123" s="631"/>
      <c r="Y1123" s="631">
        <v>0</v>
      </c>
      <c r="Z1123" s="631"/>
      <c r="AA1123" s="631"/>
      <c r="AB1123" s="631"/>
      <c r="AC1123" s="631"/>
      <c r="AD1123" s="631"/>
      <c r="AF1123" s="627">
        <v>682.05</v>
      </c>
      <c r="AG1123" s="627"/>
      <c r="AH1123" s="627"/>
      <c r="AI1123" s="627"/>
      <c r="AJ1123" s="627"/>
      <c r="AK1123" s="627"/>
      <c r="AL1123" s="627"/>
    </row>
    <row r="1124" spans="1:38" ht="11.1" customHeight="1" x14ac:dyDescent="0.25">
      <c r="A1124" s="630" t="s">
        <v>2608</v>
      </c>
      <c r="B1124" s="630"/>
      <c r="C1124" s="630"/>
      <c r="M1124" s="630" t="s">
        <v>1589</v>
      </c>
      <c r="N1124" s="630"/>
      <c r="O1124" s="630"/>
      <c r="P1124" s="630"/>
      <c r="Q1124" s="627">
        <v>10661.63</v>
      </c>
      <c r="R1124" s="627"/>
      <c r="T1124" s="631">
        <v>4618.21</v>
      </c>
      <c r="U1124" s="631"/>
      <c r="V1124" s="631"/>
      <c r="Y1124" s="631">
        <v>0</v>
      </c>
      <c r="Z1124" s="631"/>
      <c r="AA1124" s="631"/>
      <c r="AB1124" s="631"/>
      <c r="AC1124" s="631"/>
      <c r="AD1124" s="631"/>
      <c r="AF1124" s="627">
        <v>15279.84</v>
      </c>
      <c r="AG1124" s="627"/>
      <c r="AH1124" s="627"/>
      <c r="AI1124" s="627"/>
      <c r="AJ1124" s="627"/>
      <c r="AK1124" s="627"/>
      <c r="AL1124" s="627"/>
    </row>
    <row r="1125" spans="1:38" ht="11.1" customHeight="1" x14ac:dyDescent="0.25">
      <c r="A1125" s="630" t="s">
        <v>4437</v>
      </c>
      <c r="B1125" s="630"/>
      <c r="C1125" s="630"/>
      <c r="L1125" s="630" t="s">
        <v>302</v>
      </c>
      <c r="M1125" s="630"/>
      <c r="N1125" s="630"/>
      <c r="O1125" s="630"/>
      <c r="P1125" s="630"/>
      <c r="Q1125" s="627">
        <v>512937.95</v>
      </c>
      <c r="R1125" s="627"/>
      <c r="T1125" s="631">
        <v>34357</v>
      </c>
      <c r="U1125" s="631"/>
      <c r="V1125" s="631"/>
      <c r="Y1125" s="631">
        <v>0</v>
      </c>
      <c r="Z1125" s="631"/>
      <c r="AA1125" s="631"/>
      <c r="AB1125" s="631"/>
      <c r="AC1125" s="631"/>
      <c r="AD1125" s="631"/>
      <c r="AF1125" s="627">
        <v>547294.94999999995</v>
      </c>
      <c r="AG1125" s="627"/>
      <c r="AH1125" s="627"/>
      <c r="AI1125" s="627"/>
      <c r="AJ1125" s="627"/>
      <c r="AK1125" s="627"/>
      <c r="AL1125" s="627"/>
    </row>
    <row r="1126" spans="1:38" ht="11.1" customHeight="1" x14ac:dyDescent="0.25">
      <c r="A1126" s="630" t="s">
        <v>2609</v>
      </c>
      <c r="B1126" s="630"/>
      <c r="C1126" s="630"/>
      <c r="M1126" s="630" t="s">
        <v>1568</v>
      </c>
      <c r="N1126" s="630"/>
      <c r="O1126" s="630"/>
      <c r="P1126" s="630"/>
      <c r="Q1126" s="627">
        <v>512937.95</v>
      </c>
      <c r="R1126" s="627"/>
      <c r="T1126" s="631">
        <v>34357</v>
      </c>
      <c r="U1126" s="631"/>
      <c r="V1126" s="631"/>
      <c r="Y1126" s="631">
        <v>0</v>
      </c>
      <c r="Z1126" s="631"/>
      <c r="AA1126" s="631"/>
      <c r="AB1126" s="631"/>
      <c r="AC1126" s="631"/>
      <c r="AD1126" s="631"/>
      <c r="AF1126" s="627">
        <v>547294.94999999995</v>
      </c>
      <c r="AG1126" s="627"/>
      <c r="AH1126" s="627"/>
      <c r="AI1126" s="627"/>
      <c r="AJ1126" s="627"/>
      <c r="AK1126" s="627"/>
      <c r="AL1126" s="627"/>
    </row>
    <row r="1127" spans="1:38" ht="11.1" customHeight="1" x14ac:dyDescent="0.25">
      <c r="A1127" s="630" t="s">
        <v>4438</v>
      </c>
      <c r="B1127" s="630"/>
      <c r="C1127" s="630"/>
      <c r="L1127" s="630" t="s">
        <v>591</v>
      </c>
      <c r="M1127" s="630"/>
      <c r="N1127" s="630"/>
      <c r="O1127" s="630"/>
      <c r="P1127" s="630"/>
      <c r="Q1127" s="627">
        <v>709645.36</v>
      </c>
      <c r="R1127" s="627"/>
      <c r="T1127" s="631">
        <v>61957.51</v>
      </c>
      <c r="U1127" s="631"/>
      <c r="V1127" s="631"/>
      <c r="Y1127" s="631">
        <v>0</v>
      </c>
      <c r="Z1127" s="631"/>
      <c r="AA1127" s="631"/>
      <c r="AB1127" s="631"/>
      <c r="AC1127" s="631"/>
      <c r="AD1127" s="631"/>
      <c r="AF1127" s="627">
        <v>771602.87</v>
      </c>
      <c r="AG1127" s="627"/>
      <c r="AH1127" s="627"/>
      <c r="AI1127" s="627"/>
      <c r="AJ1127" s="627"/>
      <c r="AK1127" s="627"/>
      <c r="AL1127" s="627"/>
    </row>
    <row r="1128" spans="1:38" ht="11.1" customHeight="1" x14ac:dyDescent="0.25">
      <c r="A1128" s="630" t="s">
        <v>2610</v>
      </c>
      <c r="B1128" s="630"/>
      <c r="C1128" s="630"/>
      <c r="M1128" s="630" t="s">
        <v>1571</v>
      </c>
      <c r="N1128" s="630"/>
      <c r="O1128" s="630"/>
      <c r="P1128" s="630"/>
      <c r="Q1128" s="627">
        <v>529986.34</v>
      </c>
      <c r="R1128" s="627"/>
      <c r="T1128" s="631">
        <v>43216.78</v>
      </c>
      <c r="U1128" s="631"/>
      <c r="V1128" s="631"/>
      <c r="Y1128" s="631">
        <v>0</v>
      </c>
      <c r="Z1128" s="631"/>
      <c r="AA1128" s="631"/>
      <c r="AB1128" s="631"/>
      <c r="AC1128" s="631"/>
      <c r="AD1128" s="631"/>
      <c r="AF1128" s="627">
        <v>573203.12</v>
      </c>
      <c r="AG1128" s="627"/>
      <c r="AH1128" s="627"/>
      <c r="AI1128" s="627"/>
      <c r="AJ1128" s="627"/>
      <c r="AK1128" s="627"/>
      <c r="AL1128" s="627"/>
    </row>
    <row r="1129" spans="1:38" ht="11.1" customHeight="1" x14ac:dyDescent="0.25">
      <c r="A1129" s="630" t="s">
        <v>2611</v>
      </c>
      <c r="B1129" s="630"/>
      <c r="C1129" s="630"/>
      <c r="M1129" s="630" t="s">
        <v>1595</v>
      </c>
      <c r="N1129" s="630"/>
      <c r="O1129" s="630"/>
      <c r="P1129" s="630"/>
      <c r="Q1129" s="627">
        <v>72116.53</v>
      </c>
      <c r="R1129" s="627"/>
      <c r="T1129" s="631">
        <v>4975.68</v>
      </c>
      <c r="U1129" s="631"/>
      <c r="V1129" s="631"/>
      <c r="Y1129" s="631">
        <v>0</v>
      </c>
      <c r="Z1129" s="631"/>
      <c r="AA1129" s="631"/>
      <c r="AB1129" s="631"/>
      <c r="AC1129" s="631"/>
      <c r="AD1129" s="631"/>
      <c r="AF1129" s="627">
        <v>77092.210000000006</v>
      </c>
      <c r="AG1129" s="627"/>
      <c r="AH1129" s="627"/>
      <c r="AI1129" s="627"/>
      <c r="AJ1129" s="627"/>
      <c r="AK1129" s="627"/>
      <c r="AL1129" s="627"/>
    </row>
    <row r="1130" spans="1:38" ht="11.1" customHeight="1" x14ac:dyDescent="0.25">
      <c r="A1130" s="630" t="s">
        <v>2612</v>
      </c>
      <c r="B1130" s="630"/>
      <c r="C1130" s="630"/>
      <c r="M1130" s="630" t="s">
        <v>1597</v>
      </c>
      <c r="N1130" s="630"/>
      <c r="O1130" s="630"/>
      <c r="P1130" s="630"/>
      <c r="Q1130" s="627">
        <v>14441.6</v>
      </c>
      <c r="R1130" s="627"/>
      <c r="T1130" s="631">
        <v>1018.09</v>
      </c>
      <c r="U1130" s="631"/>
      <c r="V1130" s="631"/>
      <c r="Y1130" s="631">
        <v>0</v>
      </c>
      <c r="Z1130" s="631"/>
      <c r="AA1130" s="631"/>
      <c r="AB1130" s="631"/>
      <c r="AC1130" s="631"/>
      <c r="AD1130" s="631"/>
      <c r="AF1130" s="627">
        <v>15459.69</v>
      </c>
      <c r="AG1130" s="627"/>
      <c r="AH1130" s="627"/>
      <c r="AI1130" s="627"/>
      <c r="AJ1130" s="627"/>
      <c r="AK1130" s="627"/>
      <c r="AL1130" s="627"/>
    </row>
    <row r="1131" spans="1:38" ht="11.1" customHeight="1" x14ac:dyDescent="0.25">
      <c r="A1131" s="630" t="s">
        <v>2613</v>
      </c>
      <c r="B1131" s="630"/>
      <c r="C1131" s="630"/>
      <c r="M1131" s="630" t="s">
        <v>1599</v>
      </c>
      <c r="N1131" s="630"/>
      <c r="O1131" s="630"/>
      <c r="P1131" s="630"/>
      <c r="Q1131" s="627">
        <v>4344.22</v>
      </c>
      <c r="R1131" s="627"/>
      <c r="T1131" s="631">
        <v>298.32</v>
      </c>
      <c r="U1131" s="631"/>
      <c r="V1131" s="631"/>
      <c r="Y1131" s="631">
        <v>0</v>
      </c>
      <c r="Z1131" s="631"/>
      <c r="AA1131" s="631"/>
      <c r="AB1131" s="631"/>
      <c r="AC1131" s="631"/>
      <c r="AD1131" s="631"/>
      <c r="AF1131" s="627">
        <v>4642.54</v>
      </c>
      <c r="AG1131" s="627"/>
      <c r="AH1131" s="627"/>
      <c r="AI1131" s="627"/>
      <c r="AJ1131" s="627"/>
      <c r="AK1131" s="627"/>
      <c r="AL1131" s="627"/>
    </row>
    <row r="1132" spans="1:38" ht="11.1" customHeight="1" x14ac:dyDescent="0.25">
      <c r="A1132" s="630" t="s">
        <v>2614</v>
      </c>
      <c r="B1132" s="630"/>
      <c r="C1132" s="630"/>
      <c r="M1132" s="630" t="s">
        <v>1601</v>
      </c>
      <c r="N1132" s="630"/>
      <c r="O1132" s="630"/>
      <c r="P1132" s="630"/>
      <c r="Q1132" s="627">
        <v>48088.77</v>
      </c>
      <c r="R1132" s="627"/>
      <c r="T1132" s="631">
        <v>4379.6499999999996</v>
      </c>
      <c r="U1132" s="631"/>
      <c r="V1132" s="631"/>
      <c r="Y1132" s="631">
        <v>0</v>
      </c>
      <c r="Z1132" s="631"/>
      <c r="AA1132" s="631"/>
      <c r="AB1132" s="631"/>
      <c r="AC1132" s="631"/>
      <c r="AD1132" s="631"/>
      <c r="AF1132" s="627">
        <v>52468.42</v>
      </c>
      <c r="AG1132" s="627"/>
      <c r="AH1132" s="627"/>
      <c r="AI1132" s="627"/>
      <c r="AJ1132" s="627"/>
      <c r="AK1132" s="627"/>
      <c r="AL1132" s="627"/>
    </row>
    <row r="1133" spans="1:38" ht="11.1" customHeight="1" x14ac:dyDescent="0.25">
      <c r="A1133" s="630" t="s">
        <v>2615</v>
      </c>
      <c r="B1133" s="630"/>
      <c r="C1133" s="630"/>
      <c r="M1133" s="630" t="s">
        <v>1603</v>
      </c>
      <c r="N1133" s="630"/>
      <c r="O1133" s="630"/>
      <c r="P1133" s="630"/>
      <c r="Q1133" s="627">
        <v>13128.24</v>
      </c>
      <c r="R1133" s="627"/>
      <c r="T1133" s="631">
        <v>1195.6300000000001</v>
      </c>
      <c r="U1133" s="631"/>
      <c r="V1133" s="631"/>
      <c r="Y1133" s="631">
        <v>0</v>
      </c>
      <c r="Z1133" s="631"/>
      <c r="AA1133" s="631"/>
      <c r="AB1133" s="631"/>
      <c r="AC1133" s="631"/>
      <c r="AD1133" s="631"/>
      <c r="AF1133" s="627">
        <v>14323.87</v>
      </c>
      <c r="AG1133" s="627"/>
      <c r="AH1133" s="627"/>
      <c r="AI1133" s="627"/>
      <c r="AJ1133" s="627"/>
      <c r="AK1133" s="627"/>
      <c r="AL1133" s="627"/>
    </row>
    <row r="1134" spans="1:38" ht="11.1" customHeight="1" x14ac:dyDescent="0.25">
      <c r="A1134" s="630" t="s">
        <v>2616</v>
      </c>
      <c r="B1134" s="630"/>
      <c r="C1134" s="630"/>
      <c r="M1134" s="630" t="s">
        <v>1605</v>
      </c>
      <c r="N1134" s="630"/>
      <c r="O1134" s="630"/>
      <c r="P1134" s="630"/>
      <c r="Q1134" s="627">
        <v>4036.55</v>
      </c>
      <c r="R1134" s="627"/>
      <c r="T1134" s="631">
        <v>350.37</v>
      </c>
      <c r="U1134" s="631"/>
      <c r="V1134" s="631"/>
      <c r="Y1134" s="631">
        <v>0</v>
      </c>
      <c r="Z1134" s="631"/>
      <c r="AA1134" s="631"/>
      <c r="AB1134" s="631"/>
      <c r="AC1134" s="631"/>
      <c r="AD1134" s="631"/>
      <c r="AF1134" s="627">
        <v>4386.92</v>
      </c>
      <c r="AG1134" s="627"/>
      <c r="AH1134" s="627"/>
      <c r="AI1134" s="627"/>
      <c r="AJ1134" s="627"/>
      <c r="AK1134" s="627"/>
      <c r="AL1134" s="627"/>
    </row>
    <row r="1135" spans="1:38" ht="11.1" customHeight="1" x14ac:dyDescent="0.25">
      <c r="A1135" s="630" t="s">
        <v>2617</v>
      </c>
      <c r="B1135" s="630"/>
      <c r="C1135" s="630"/>
      <c r="M1135" s="630" t="s">
        <v>1585</v>
      </c>
      <c r="N1135" s="630"/>
      <c r="O1135" s="630"/>
      <c r="P1135" s="630"/>
      <c r="Q1135" s="627">
        <v>4178.9799999999996</v>
      </c>
      <c r="R1135" s="627"/>
      <c r="T1135" s="631">
        <v>76.88</v>
      </c>
      <c r="U1135" s="631"/>
      <c r="V1135" s="631"/>
      <c r="Y1135" s="631">
        <v>0</v>
      </c>
      <c r="Z1135" s="631"/>
      <c r="AA1135" s="631"/>
      <c r="AB1135" s="631"/>
      <c r="AC1135" s="631"/>
      <c r="AD1135" s="631"/>
      <c r="AF1135" s="627">
        <v>4255.8599999999997</v>
      </c>
      <c r="AG1135" s="627"/>
      <c r="AH1135" s="627"/>
      <c r="AI1135" s="627"/>
      <c r="AJ1135" s="627"/>
      <c r="AK1135" s="627"/>
      <c r="AL1135" s="627"/>
    </row>
    <row r="1136" spans="1:38" ht="11.1" customHeight="1" x14ac:dyDescent="0.25">
      <c r="A1136" s="630" t="s">
        <v>2618</v>
      </c>
      <c r="B1136" s="630"/>
      <c r="C1136" s="630"/>
      <c r="M1136" s="630" t="s">
        <v>1587</v>
      </c>
      <c r="N1136" s="630"/>
      <c r="O1136" s="630"/>
      <c r="P1136" s="630"/>
      <c r="Q1136" s="627">
        <v>2413.13</v>
      </c>
      <c r="R1136" s="627"/>
      <c r="T1136" s="631">
        <v>148.12</v>
      </c>
      <c r="U1136" s="631"/>
      <c r="V1136" s="631"/>
      <c r="Y1136" s="631">
        <v>0</v>
      </c>
      <c r="Z1136" s="631"/>
      <c r="AA1136" s="631"/>
      <c r="AB1136" s="631"/>
      <c r="AC1136" s="631"/>
      <c r="AD1136" s="631"/>
      <c r="AF1136" s="627">
        <v>2561.25</v>
      </c>
      <c r="AG1136" s="627"/>
      <c r="AH1136" s="627"/>
      <c r="AI1136" s="627"/>
      <c r="AJ1136" s="627"/>
      <c r="AK1136" s="627"/>
      <c r="AL1136" s="627"/>
    </row>
    <row r="1137" spans="1:38" ht="11.1" customHeight="1" x14ac:dyDescent="0.25">
      <c r="A1137" s="630" t="s">
        <v>2619</v>
      </c>
      <c r="B1137" s="630"/>
      <c r="C1137" s="630"/>
      <c r="M1137" s="630" t="s">
        <v>1589</v>
      </c>
      <c r="N1137" s="630"/>
      <c r="O1137" s="630"/>
      <c r="P1137" s="630"/>
      <c r="Q1137" s="627">
        <v>16911</v>
      </c>
      <c r="R1137" s="627"/>
      <c r="T1137" s="631">
        <v>6297.99</v>
      </c>
      <c r="U1137" s="631"/>
      <c r="V1137" s="631"/>
      <c r="Y1137" s="631">
        <v>0</v>
      </c>
      <c r="Z1137" s="631"/>
      <c r="AA1137" s="631"/>
      <c r="AB1137" s="631"/>
      <c r="AC1137" s="631"/>
      <c r="AD1137" s="631"/>
      <c r="AF1137" s="627">
        <v>23208.99</v>
      </c>
      <c r="AG1137" s="627"/>
      <c r="AH1137" s="627"/>
      <c r="AI1137" s="627"/>
      <c r="AJ1137" s="627"/>
      <c r="AK1137" s="627"/>
      <c r="AL1137" s="627"/>
    </row>
    <row r="1138" spans="1:38" ht="11.1" customHeight="1" x14ac:dyDescent="0.25">
      <c r="A1138" s="630" t="s">
        <v>4439</v>
      </c>
      <c r="B1138" s="630"/>
      <c r="C1138" s="630"/>
      <c r="K1138" s="630" t="s">
        <v>1610</v>
      </c>
      <c r="L1138" s="630"/>
      <c r="M1138" s="630"/>
      <c r="N1138" s="630"/>
      <c r="O1138" s="630"/>
      <c r="P1138" s="630"/>
      <c r="Q1138" s="627">
        <v>467375.63</v>
      </c>
      <c r="R1138" s="627"/>
      <c r="T1138" s="631">
        <v>57193.27</v>
      </c>
      <c r="U1138" s="631"/>
      <c r="V1138" s="631"/>
      <c r="Y1138" s="631">
        <v>0.04</v>
      </c>
      <c r="Z1138" s="631"/>
      <c r="AA1138" s="631"/>
      <c r="AB1138" s="631"/>
      <c r="AC1138" s="631"/>
      <c r="AD1138" s="631"/>
      <c r="AF1138" s="627">
        <v>524568.86</v>
      </c>
      <c r="AG1138" s="627"/>
      <c r="AH1138" s="627"/>
      <c r="AI1138" s="627"/>
      <c r="AJ1138" s="627"/>
      <c r="AK1138" s="627"/>
      <c r="AL1138" s="627"/>
    </row>
    <row r="1139" spans="1:38" ht="11.1" customHeight="1" x14ac:dyDescent="0.25">
      <c r="A1139" s="630" t="s">
        <v>4440</v>
      </c>
      <c r="B1139" s="630"/>
      <c r="C1139" s="630"/>
      <c r="L1139" s="630" t="s">
        <v>586</v>
      </c>
      <c r="M1139" s="630"/>
      <c r="N1139" s="630"/>
      <c r="O1139" s="630"/>
      <c r="P1139" s="630"/>
      <c r="Q1139" s="627">
        <v>122299.41</v>
      </c>
      <c r="R1139" s="627"/>
      <c r="T1139" s="631">
        <v>11540.53</v>
      </c>
      <c r="U1139" s="631"/>
      <c r="V1139" s="631"/>
      <c r="Y1139" s="631">
        <v>0.04</v>
      </c>
      <c r="Z1139" s="631"/>
      <c r="AA1139" s="631"/>
      <c r="AB1139" s="631"/>
      <c r="AC1139" s="631"/>
      <c r="AD1139" s="631"/>
      <c r="AF1139" s="627">
        <v>133839.9</v>
      </c>
      <c r="AG1139" s="627"/>
      <c r="AH1139" s="627"/>
      <c r="AI1139" s="627"/>
      <c r="AJ1139" s="627"/>
      <c r="AK1139" s="627"/>
      <c r="AL1139" s="627"/>
    </row>
    <row r="1140" spans="1:38" ht="11.1" customHeight="1" x14ac:dyDescent="0.25">
      <c r="A1140" s="630" t="s">
        <v>2620</v>
      </c>
      <c r="B1140" s="630"/>
      <c r="C1140" s="630"/>
      <c r="M1140" s="630" t="s">
        <v>1090</v>
      </c>
      <c r="N1140" s="630"/>
      <c r="O1140" s="630"/>
      <c r="P1140" s="630"/>
      <c r="Q1140" s="627">
        <v>94282.68</v>
      </c>
      <c r="R1140" s="627"/>
      <c r="T1140" s="631">
        <v>8925.1299999999992</v>
      </c>
      <c r="U1140" s="631"/>
      <c r="V1140" s="631"/>
      <c r="Y1140" s="631">
        <v>0.04</v>
      </c>
      <c r="Z1140" s="631"/>
      <c r="AA1140" s="631"/>
      <c r="AB1140" s="631"/>
      <c r="AC1140" s="631"/>
      <c r="AD1140" s="631"/>
      <c r="AF1140" s="627">
        <v>103207.77</v>
      </c>
      <c r="AG1140" s="627"/>
      <c r="AH1140" s="627"/>
      <c r="AI1140" s="627"/>
      <c r="AJ1140" s="627"/>
      <c r="AK1140" s="627"/>
      <c r="AL1140" s="627"/>
    </row>
    <row r="1141" spans="1:38" ht="11.1" customHeight="1" x14ac:dyDescent="0.25">
      <c r="A1141" s="630" t="s">
        <v>2621</v>
      </c>
      <c r="B1141" s="630"/>
      <c r="C1141" s="630"/>
      <c r="M1141" s="630" t="s">
        <v>1092</v>
      </c>
      <c r="N1141" s="630"/>
      <c r="O1141" s="630"/>
      <c r="P1141" s="630"/>
      <c r="Q1141" s="627">
        <v>28016.73</v>
      </c>
      <c r="R1141" s="627"/>
      <c r="T1141" s="631">
        <v>2615.4</v>
      </c>
      <c r="U1141" s="631"/>
      <c r="V1141" s="631"/>
      <c r="Y1141" s="631">
        <v>0</v>
      </c>
      <c r="Z1141" s="631"/>
      <c r="AA1141" s="631"/>
      <c r="AB1141" s="631"/>
      <c r="AC1141" s="631"/>
      <c r="AD1141" s="631"/>
      <c r="AF1141" s="627">
        <v>30632.13</v>
      </c>
      <c r="AG1141" s="627"/>
      <c r="AH1141" s="627"/>
      <c r="AI1141" s="627"/>
      <c r="AJ1141" s="627"/>
      <c r="AK1141" s="627"/>
      <c r="AL1141" s="627"/>
    </row>
    <row r="1142" spans="1:38" ht="11.1" customHeight="1" x14ac:dyDescent="0.25">
      <c r="A1142" s="630" t="s">
        <v>4441</v>
      </c>
      <c r="B1142" s="630"/>
      <c r="C1142" s="630"/>
      <c r="L1142" s="630" t="s">
        <v>302</v>
      </c>
      <c r="M1142" s="630"/>
      <c r="N1142" s="630"/>
      <c r="O1142" s="630"/>
      <c r="P1142" s="630"/>
      <c r="Q1142" s="627">
        <v>153697.35</v>
      </c>
      <c r="R1142" s="627"/>
      <c r="T1142" s="631">
        <v>28174.05</v>
      </c>
      <c r="U1142" s="631"/>
      <c r="V1142" s="631"/>
      <c r="Y1142" s="631">
        <v>0</v>
      </c>
      <c r="Z1142" s="631"/>
      <c r="AA1142" s="631"/>
      <c r="AB1142" s="631"/>
      <c r="AC1142" s="631"/>
      <c r="AD1142" s="631"/>
      <c r="AF1142" s="627">
        <v>181871.4</v>
      </c>
      <c r="AG1142" s="627"/>
      <c r="AH1142" s="627"/>
      <c r="AI1142" s="627"/>
      <c r="AJ1142" s="627"/>
      <c r="AK1142" s="627"/>
      <c r="AL1142" s="627"/>
    </row>
    <row r="1143" spans="1:38" ht="11.1" customHeight="1" x14ac:dyDescent="0.25">
      <c r="A1143" s="630" t="s">
        <v>2622</v>
      </c>
      <c r="B1143" s="630"/>
      <c r="C1143" s="630"/>
      <c r="M1143" s="630" t="s">
        <v>1610</v>
      </c>
      <c r="N1143" s="630"/>
      <c r="O1143" s="630"/>
      <c r="P1143" s="630"/>
      <c r="Q1143" s="627">
        <v>153697.35</v>
      </c>
      <c r="R1143" s="627"/>
      <c r="T1143" s="631">
        <v>28174.05</v>
      </c>
      <c r="U1143" s="631"/>
      <c r="V1143" s="631"/>
      <c r="Y1143" s="631">
        <v>0</v>
      </c>
      <c r="Z1143" s="631"/>
      <c r="AA1143" s="631"/>
      <c r="AB1143" s="631"/>
      <c r="AC1143" s="631"/>
      <c r="AD1143" s="631"/>
      <c r="AF1143" s="627">
        <v>181871.4</v>
      </c>
      <c r="AG1143" s="627"/>
      <c r="AH1143" s="627"/>
      <c r="AI1143" s="627"/>
      <c r="AJ1143" s="627"/>
      <c r="AK1143" s="627"/>
      <c r="AL1143" s="627"/>
    </row>
    <row r="1144" spans="1:38" ht="11.1" customHeight="1" x14ac:dyDescent="0.25">
      <c r="A1144" s="630" t="s">
        <v>4442</v>
      </c>
      <c r="B1144" s="630"/>
      <c r="C1144" s="630"/>
      <c r="L1144" s="630" t="s">
        <v>591</v>
      </c>
      <c r="M1144" s="630"/>
      <c r="N1144" s="630"/>
      <c r="O1144" s="630"/>
      <c r="P1144" s="630"/>
      <c r="Q1144" s="627">
        <v>191378.87</v>
      </c>
      <c r="R1144" s="627"/>
      <c r="T1144" s="631">
        <v>17478.689999999999</v>
      </c>
      <c r="U1144" s="631"/>
      <c r="V1144" s="631"/>
      <c r="Y1144" s="631">
        <v>0</v>
      </c>
      <c r="Z1144" s="631"/>
      <c r="AA1144" s="631"/>
      <c r="AB1144" s="631"/>
      <c r="AC1144" s="631"/>
      <c r="AD1144" s="631"/>
      <c r="AF1144" s="627">
        <v>208857.56</v>
      </c>
      <c r="AG1144" s="627"/>
      <c r="AH1144" s="627"/>
      <c r="AI1144" s="627"/>
      <c r="AJ1144" s="627"/>
      <c r="AK1144" s="627"/>
      <c r="AL1144" s="627"/>
    </row>
    <row r="1145" spans="1:38" ht="11.1" customHeight="1" x14ac:dyDescent="0.25">
      <c r="A1145" s="630" t="s">
        <v>2623</v>
      </c>
      <c r="B1145" s="630"/>
      <c r="C1145" s="630"/>
      <c r="M1145" s="630" t="s">
        <v>1090</v>
      </c>
      <c r="N1145" s="630"/>
      <c r="O1145" s="630"/>
      <c r="P1145" s="630"/>
      <c r="Q1145" s="627">
        <v>147584.9</v>
      </c>
      <c r="R1145" s="627"/>
      <c r="T1145" s="631">
        <v>13517.54</v>
      </c>
      <c r="U1145" s="631"/>
      <c r="V1145" s="631"/>
      <c r="Y1145" s="631">
        <v>0</v>
      </c>
      <c r="Z1145" s="631"/>
      <c r="AA1145" s="631"/>
      <c r="AB1145" s="631"/>
      <c r="AC1145" s="631"/>
      <c r="AD1145" s="631"/>
      <c r="AF1145" s="627">
        <v>161102.44</v>
      </c>
      <c r="AG1145" s="627"/>
      <c r="AH1145" s="627"/>
      <c r="AI1145" s="627"/>
      <c r="AJ1145" s="627"/>
      <c r="AK1145" s="627"/>
      <c r="AL1145" s="627"/>
    </row>
    <row r="1146" spans="1:38" ht="11.1" customHeight="1" x14ac:dyDescent="0.25">
      <c r="A1146" s="630" t="s">
        <v>2624</v>
      </c>
      <c r="B1146" s="630"/>
      <c r="C1146" s="630"/>
      <c r="M1146" s="630" t="s">
        <v>1092</v>
      </c>
      <c r="N1146" s="630"/>
      <c r="O1146" s="630"/>
      <c r="P1146" s="630"/>
      <c r="Q1146" s="627">
        <v>43793.97</v>
      </c>
      <c r="R1146" s="627"/>
      <c r="T1146" s="631">
        <v>3961.15</v>
      </c>
      <c r="U1146" s="631"/>
      <c r="V1146" s="631"/>
      <c r="Y1146" s="631">
        <v>0</v>
      </c>
      <c r="Z1146" s="631"/>
      <c r="AA1146" s="631"/>
      <c r="AB1146" s="631"/>
      <c r="AC1146" s="631"/>
      <c r="AD1146" s="631"/>
      <c r="AF1146" s="627">
        <v>47755.12</v>
      </c>
      <c r="AG1146" s="627"/>
      <c r="AH1146" s="627"/>
      <c r="AI1146" s="627"/>
      <c r="AJ1146" s="627"/>
      <c r="AK1146" s="627"/>
      <c r="AL1146" s="627"/>
    </row>
    <row r="1147" spans="1:38" ht="11.1" customHeight="1" x14ac:dyDescent="0.25">
      <c r="A1147" s="630" t="s">
        <v>4443</v>
      </c>
      <c r="B1147" s="630"/>
      <c r="C1147" s="630"/>
      <c r="K1147" s="630" t="s">
        <v>1620</v>
      </c>
      <c r="L1147" s="630"/>
      <c r="M1147" s="630"/>
      <c r="N1147" s="630"/>
      <c r="O1147" s="630"/>
      <c r="P1147" s="630"/>
      <c r="Q1147" s="627">
        <v>85617.89</v>
      </c>
      <c r="R1147" s="627"/>
      <c r="T1147" s="631">
        <v>7683.78</v>
      </c>
      <c r="U1147" s="631"/>
      <c r="V1147" s="631"/>
      <c r="Y1147" s="631">
        <v>0</v>
      </c>
      <c r="Z1147" s="631"/>
      <c r="AA1147" s="631"/>
      <c r="AB1147" s="631"/>
      <c r="AC1147" s="631"/>
      <c r="AD1147" s="631"/>
      <c r="AF1147" s="627">
        <v>93301.67</v>
      </c>
      <c r="AG1147" s="627"/>
      <c r="AH1147" s="627"/>
      <c r="AI1147" s="627"/>
      <c r="AJ1147" s="627"/>
      <c r="AK1147" s="627"/>
      <c r="AL1147" s="627"/>
    </row>
    <row r="1148" spans="1:38" ht="11.1" customHeight="1" x14ac:dyDescent="0.25">
      <c r="A1148" s="630" t="s">
        <v>4444</v>
      </c>
      <c r="B1148" s="630"/>
      <c r="C1148" s="630"/>
      <c r="L1148" s="630" t="s">
        <v>1622</v>
      </c>
      <c r="M1148" s="630"/>
      <c r="N1148" s="630"/>
      <c r="O1148" s="630"/>
      <c r="P1148" s="630"/>
      <c r="Q1148" s="627">
        <v>27822.6</v>
      </c>
      <c r="R1148" s="627"/>
      <c r="T1148" s="631">
        <v>2566.6799999999998</v>
      </c>
      <c r="U1148" s="631"/>
      <c r="V1148" s="631"/>
      <c r="Y1148" s="631">
        <v>0</v>
      </c>
      <c r="Z1148" s="631"/>
      <c r="AA1148" s="631"/>
      <c r="AB1148" s="631"/>
      <c r="AC1148" s="631"/>
      <c r="AD1148" s="631"/>
      <c r="AF1148" s="627">
        <v>30389.279999999999</v>
      </c>
      <c r="AG1148" s="627"/>
      <c r="AH1148" s="627"/>
      <c r="AI1148" s="627"/>
      <c r="AJ1148" s="627"/>
      <c r="AK1148" s="627"/>
      <c r="AL1148" s="627"/>
    </row>
    <row r="1149" spans="1:38" ht="11.1" customHeight="1" x14ac:dyDescent="0.25">
      <c r="A1149" s="630" t="s">
        <v>2625</v>
      </c>
      <c r="B1149" s="630"/>
      <c r="C1149" s="630"/>
      <c r="M1149" s="630" t="s">
        <v>1624</v>
      </c>
      <c r="N1149" s="630"/>
      <c r="O1149" s="630"/>
      <c r="P1149" s="630"/>
      <c r="Q1149" s="627">
        <v>27822.6</v>
      </c>
      <c r="R1149" s="627"/>
      <c r="T1149" s="631">
        <v>2566.6799999999998</v>
      </c>
      <c r="U1149" s="631"/>
      <c r="V1149" s="631"/>
      <c r="Y1149" s="631">
        <v>0</v>
      </c>
      <c r="Z1149" s="631"/>
      <c r="AA1149" s="631"/>
      <c r="AB1149" s="631"/>
      <c r="AC1149" s="631"/>
      <c r="AD1149" s="631"/>
      <c r="AF1149" s="627">
        <v>30389.279999999999</v>
      </c>
      <c r="AG1149" s="627"/>
      <c r="AH1149" s="627"/>
      <c r="AI1149" s="627"/>
      <c r="AJ1149" s="627"/>
      <c r="AK1149" s="627"/>
      <c r="AL1149" s="627"/>
    </row>
    <row r="1150" spans="1:38" ht="11.1" customHeight="1" x14ac:dyDescent="0.25">
      <c r="A1150" s="630" t="s">
        <v>4445</v>
      </c>
      <c r="B1150" s="630"/>
      <c r="C1150" s="630"/>
      <c r="L1150" s="630" t="s">
        <v>302</v>
      </c>
      <c r="M1150" s="630"/>
      <c r="N1150" s="630"/>
      <c r="O1150" s="630"/>
      <c r="P1150" s="630"/>
      <c r="Q1150" s="627">
        <v>9880.42</v>
      </c>
      <c r="R1150" s="627"/>
      <c r="T1150" s="631">
        <v>871.74</v>
      </c>
      <c r="U1150" s="631"/>
      <c r="V1150" s="631"/>
      <c r="Y1150" s="631">
        <v>0</v>
      </c>
      <c r="Z1150" s="631"/>
      <c r="AA1150" s="631"/>
      <c r="AB1150" s="631"/>
      <c r="AC1150" s="631"/>
      <c r="AD1150" s="631"/>
      <c r="AF1150" s="627">
        <v>10752.16</v>
      </c>
      <c r="AG1150" s="627"/>
      <c r="AH1150" s="627"/>
      <c r="AI1150" s="627"/>
      <c r="AJ1150" s="627"/>
      <c r="AK1150" s="627"/>
      <c r="AL1150" s="627"/>
    </row>
    <row r="1151" spans="1:38" ht="11.1" customHeight="1" x14ac:dyDescent="0.25">
      <c r="A1151" s="630" t="s">
        <v>2626</v>
      </c>
      <c r="B1151" s="630"/>
      <c r="C1151" s="630"/>
      <c r="M1151" s="630" t="s">
        <v>1620</v>
      </c>
      <c r="N1151" s="630"/>
      <c r="O1151" s="630"/>
      <c r="P1151" s="630"/>
      <c r="Q1151" s="627">
        <v>9880.42</v>
      </c>
      <c r="R1151" s="627"/>
      <c r="T1151" s="631">
        <v>871.74</v>
      </c>
      <c r="U1151" s="631"/>
      <c r="V1151" s="631"/>
      <c r="Y1151" s="631">
        <v>0</v>
      </c>
      <c r="Z1151" s="631"/>
      <c r="AA1151" s="631"/>
      <c r="AB1151" s="631"/>
      <c r="AC1151" s="631"/>
      <c r="AD1151" s="631"/>
      <c r="AF1151" s="627">
        <v>10752.16</v>
      </c>
      <c r="AG1151" s="627"/>
      <c r="AH1151" s="627"/>
      <c r="AI1151" s="627"/>
      <c r="AJ1151" s="627"/>
      <c r="AK1151" s="627"/>
      <c r="AL1151" s="627"/>
    </row>
    <row r="1152" spans="1:38" ht="11.1" customHeight="1" x14ac:dyDescent="0.25">
      <c r="A1152" s="630" t="s">
        <v>4446</v>
      </c>
      <c r="B1152" s="630"/>
      <c r="C1152" s="630"/>
      <c r="L1152" s="630" t="s">
        <v>591</v>
      </c>
      <c r="M1152" s="630"/>
      <c r="N1152" s="630"/>
      <c r="O1152" s="630"/>
      <c r="P1152" s="630"/>
      <c r="Q1152" s="627">
        <v>47914.87</v>
      </c>
      <c r="R1152" s="627"/>
      <c r="T1152" s="631">
        <v>4245.3599999999997</v>
      </c>
      <c r="U1152" s="631"/>
      <c r="V1152" s="631"/>
      <c r="Y1152" s="631">
        <v>0</v>
      </c>
      <c r="Z1152" s="631"/>
      <c r="AA1152" s="631"/>
      <c r="AB1152" s="631"/>
      <c r="AC1152" s="631"/>
      <c r="AD1152" s="631"/>
      <c r="AF1152" s="627">
        <v>52160.23</v>
      </c>
      <c r="AG1152" s="627"/>
      <c r="AH1152" s="627"/>
      <c r="AI1152" s="627"/>
      <c r="AJ1152" s="627"/>
      <c r="AK1152" s="627"/>
      <c r="AL1152" s="627"/>
    </row>
    <row r="1153" spans="1:38" ht="11.1" customHeight="1" x14ac:dyDescent="0.25">
      <c r="A1153" s="630" t="s">
        <v>2627</v>
      </c>
      <c r="B1153" s="630"/>
      <c r="C1153" s="630"/>
      <c r="M1153" s="630" t="s">
        <v>1624</v>
      </c>
      <c r="N1153" s="630"/>
      <c r="O1153" s="630"/>
      <c r="P1153" s="630"/>
      <c r="Q1153" s="627">
        <v>47914.87</v>
      </c>
      <c r="R1153" s="627"/>
      <c r="T1153" s="631">
        <v>4245.3599999999997</v>
      </c>
      <c r="U1153" s="631"/>
      <c r="V1153" s="631"/>
      <c r="Y1153" s="631">
        <v>0</v>
      </c>
      <c r="Z1153" s="631"/>
      <c r="AA1153" s="631"/>
      <c r="AB1153" s="631"/>
      <c r="AC1153" s="631"/>
      <c r="AD1153" s="631"/>
      <c r="AF1153" s="627">
        <v>52160.23</v>
      </c>
      <c r="AG1153" s="627"/>
      <c r="AH1153" s="627"/>
      <c r="AI1153" s="627"/>
      <c r="AJ1153" s="627"/>
      <c r="AK1153" s="627"/>
      <c r="AL1153" s="627"/>
    </row>
    <row r="1154" spans="1:38" ht="11.1" customHeight="1" x14ac:dyDescent="0.25">
      <c r="A1154" s="630" t="s">
        <v>4447</v>
      </c>
      <c r="B1154" s="630"/>
      <c r="C1154" s="630"/>
      <c r="K1154" s="630" t="s">
        <v>1630</v>
      </c>
      <c r="L1154" s="630"/>
      <c r="M1154" s="630"/>
      <c r="N1154" s="630"/>
      <c r="O1154" s="630"/>
      <c r="P1154" s="630"/>
      <c r="Q1154" s="627">
        <v>205511.26</v>
      </c>
      <c r="R1154" s="627"/>
      <c r="T1154" s="631">
        <v>0</v>
      </c>
      <c r="U1154" s="631"/>
      <c r="V1154" s="631"/>
      <c r="Y1154" s="631">
        <v>0</v>
      </c>
      <c r="Z1154" s="631"/>
      <c r="AA1154" s="631"/>
      <c r="AB1154" s="631"/>
      <c r="AC1154" s="631"/>
      <c r="AD1154" s="631"/>
      <c r="AF1154" s="627">
        <v>205511.26</v>
      </c>
      <c r="AG1154" s="627"/>
      <c r="AH1154" s="627"/>
      <c r="AI1154" s="627"/>
      <c r="AJ1154" s="627"/>
      <c r="AK1154" s="627"/>
      <c r="AL1154" s="627"/>
    </row>
    <row r="1155" spans="1:38" ht="11.1" customHeight="1" x14ac:dyDescent="0.25">
      <c r="A1155" s="630" t="s">
        <v>4448</v>
      </c>
      <c r="B1155" s="630"/>
      <c r="C1155" s="630"/>
      <c r="L1155" s="630" t="s">
        <v>1622</v>
      </c>
      <c r="M1155" s="630"/>
      <c r="N1155" s="630"/>
      <c r="O1155" s="630"/>
      <c r="P1155" s="630"/>
      <c r="Q1155" s="627">
        <v>49360.2</v>
      </c>
      <c r="R1155" s="627"/>
      <c r="T1155" s="631">
        <v>0</v>
      </c>
      <c r="U1155" s="631"/>
      <c r="V1155" s="631"/>
      <c r="Y1155" s="631">
        <v>0</v>
      </c>
      <c r="Z1155" s="631"/>
      <c r="AA1155" s="631"/>
      <c r="AB1155" s="631"/>
      <c r="AC1155" s="631"/>
      <c r="AD1155" s="631"/>
      <c r="AF1155" s="627">
        <v>49360.2</v>
      </c>
      <c r="AG1155" s="627"/>
      <c r="AH1155" s="627"/>
      <c r="AI1155" s="627"/>
      <c r="AJ1155" s="627"/>
      <c r="AK1155" s="627"/>
      <c r="AL1155" s="627"/>
    </row>
    <row r="1156" spans="1:38" ht="11.1" customHeight="1" x14ac:dyDescent="0.25">
      <c r="A1156" s="630" t="s">
        <v>2628</v>
      </c>
      <c r="B1156" s="630"/>
      <c r="C1156" s="630"/>
      <c r="M1156" s="630" t="s">
        <v>1633</v>
      </c>
      <c r="N1156" s="630"/>
      <c r="O1156" s="630"/>
      <c r="P1156" s="630"/>
      <c r="Q1156" s="627">
        <v>49360.2</v>
      </c>
      <c r="R1156" s="627"/>
      <c r="T1156" s="631">
        <v>0</v>
      </c>
      <c r="U1156" s="631"/>
      <c r="V1156" s="631"/>
      <c r="Y1156" s="631">
        <v>0</v>
      </c>
      <c r="Z1156" s="631"/>
      <c r="AA1156" s="631"/>
      <c r="AB1156" s="631"/>
      <c r="AC1156" s="631"/>
      <c r="AD1156" s="631"/>
      <c r="AF1156" s="627">
        <v>49360.2</v>
      </c>
      <c r="AG1156" s="627"/>
      <c r="AH1156" s="627"/>
      <c r="AI1156" s="627"/>
      <c r="AJ1156" s="627"/>
      <c r="AK1156" s="627"/>
      <c r="AL1156" s="627"/>
    </row>
    <row r="1157" spans="1:38" ht="11.1" customHeight="1" x14ac:dyDescent="0.25">
      <c r="A1157" s="630" t="s">
        <v>4449</v>
      </c>
      <c r="B1157" s="630"/>
      <c r="C1157" s="630"/>
      <c r="L1157" s="630" t="s">
        <v>1635</v>
      </c>
      <c r="M1157" s="630"/>
      <c r="N1157" s="630"/>
      <c r="O1157" s="630"/>
      <c r="P1157" s="630"/>
      <c r="Q1157" s="627">
        <v>58240.81</v>
      </c>
      <c r="R1157" s="627"/>
      <c r="T1157" s="631">
        <v>0</v>
      </c>
      <c r="U1157" s="631"/>
      <c r="V1157" s="631"/>
      <c r="Y1157" s="631">
        <v>0</v>
      </c>
      <c r="Z1157" s="631"/>
      <c r="AA1157" s="631"/>
      <c r="AB1157" s="631"/>
      <c r="AC1157" s="631"/>
      <c r="AD1157" s="631"/>
      <c r="AF1157" s="627">
        <v>58240.81</v>
      </c>
      <c r="AG1157" s="627"/>
      <c r="AH1157" s="627"/>
      <c r="AI1157" s="627"/>
      <c r="AJ1157" s="627"/>
      <c r="AK1157" s="627"/>
      <c r="AL1157" s="627"/>
    </row>
    <row r="1158" spans="1:38" ht="11.1" customHeight="1" x14ac:dyDescent="0.25">
      <c r="A1158" s="630" t="s">
        <v>2629</v>
      </c>
      <c r="B1158" s="630"/>
      <c r="C1158" s="630"/>
      <c r="M1158" s="630" t="s">
        <v>1630</v>
      </c>
      <c r="N1158" s="630"/>
      <c r="O1158" s="630"/>
      <c r="P1158" s="630"/>
      <c r="Q1158" s="627">
        <v>58240.81</v>
      </c>
      <c r="R1158" s="627"/>
      <c r="T1158" s="631">
        <v>0</v>
      </c>
      <c r="U1158" s="631"/>
      <c r="V1158" s="631"/>
      <c r="Y1158" s="631">
        <v>0</v>
      </c>
      <c r="Z1158" s="631"/>
      <c r="AA1158" s="631"/>
      <c r="AB1158" s="631"/>
      <c r="AC1158" s="631"/>
      <c r="AD1158" s="631"/>
      <c r="AF1158" s="627">
        <v>58240.81</v>
      </c>
      <c r="AG1158" s="627"/>
      <c r="AH1158" s="627"/>
      <c r="AI1158" s="627"/>
      <c r="AJ1158" s="627"/>
      <c r="AK1158" s="627"/>
      <c r="AL1158" s="627"/>
    </row>
    <row r="1159" spans="1:38" ht="11.1" customHeight="1" x14ac:dyDescent="0.25">
      <c r="A1159" s="630" t="s">
        <v>4450</v>
      </c>
      <c r="B1159" s="630"/>
      <c r="C1159" s="630"/>
      <c r="L1159" s="630" t="s">
        <v>591</v>
      </c>
      <c r="M1159" s="630"/>
      <c r="N1159" s="630"/>
      <c r="O1159" s="630"/>
      <c r="P1159" s="630"/>
      <c r="Q1159" s="627">
        <v>97910.25</v>
      </c>
      <c r="R1159" s="627"/>
      <c r="T1159" s="631">
        <v>0</v>
      </c>
      <c r="U1159" s="631"/>
      <c r="V1159" s="631"/>
      <c r="Y1159" s="631">
        <v>0</v>
      </c>
      <c r="Z1159" s="631"/>
      <c r="AA1159" s="631"/>
      <c r="AB1159" s="631"/>
      <c r="AC1159" s="631"/>
      <c r="AD1159" s="631"/>
      <c r="AF1159" s="627">
        <v>97910.25</v>
      </c>
      <c r="AG1159" s="627"/>
      <c r="AH1159" s="627"/>
      <c r="AI1159" s="627"/>
      <c r="AJ1159" s="627"/>
      <c r="AK1159" s="627"/>
      <c r="AL1159" s="627"/>
    </row>
    <row r="1160" spans="1:38" ht="11.1" customHeight="1" x14ac:dyDescent="0.25">
      <c r="A1160" s="630" t="s">
        <v>2630</v>
      </c>
      <c r="B1160" s="630"/>
      <c r="C1160" s="630"/>
      <c r="M1160" s="630" t="s">
        <v>1633</v>
      </c>
      <c r="N1160" s="630"/>
      <c r="O1160" s="630"/>
      <c r="P1160" s="630"/>
      <c r="Q1160" s="627">
        <v>97910.25</v>
      </c>
      <c r="R1160" s="627"/>
      <c r="T1160" s="631">
        <v>0</v>
      </c>
      <c r="U1160" s="631"/>
      <c r="V1160" s="631"/>
      <c r="Y1160" s="631">
        <v>0</v>
      </c>
      <c r="Z1160" s="631"/>
      <c r="AA1160" s="631"/>
      <c r="AB1160" s="631"/>
      <c r="AC1160" s="631"/>
      <c r="AD1160" s="631"/>
      <c r="AF1160" s="627">
        <v>97910.25</v>
      </c>
      <c r="AG1160" s="627"/>
      <c r="AH1160" s="627"/>
      <c r="AI1160" s="627"/>
      <c r="AJ1160" s="627"/>
      <c r="AK1160" s="627"/>
      <c r="AL1160" s="627"/>
    </row>
    <row r="1161" spans="1:38" ht="11.1" customHeight="1" x14ac:dyDescent="0.25">
      <c r="A1161" s="630" t="s">
        <v>4451</v>
      </c>
      <c r="B1161" s="630"/>
      <c r="C1161" s="630"/>
      <c r="K1161" s="630" t="s">
        <v>1640</v>
      </c>
      <c r="L1161" s="630"/>
      <c r="M1161" s="630"/>
      <c r="N1161" s="630"/>
      <c r="O1161" s="630"/>
      <c r="P1161" s="630"/>
      <c r="Q1161" s="627">
        <v>411086.53</v>
      </c>
      <c r="R1161" s="627"/>
      <c r="T1161" s="631">
        <v>60468.49</v>
      </c>
      <c r="U1161" s="631"/>
      <c r="V1161" s="631"/>
      <c r="Y1161" s="631">
        <v>0</v>
      </c>
      <c r="Z1161" s="631"/>
      <c r="AA1161" s="631"/>
      <c r="AB1161" s="631"/>
      <c r="AC1161" s="631"/>
      <c r="AD1161" s="631"/>
      <c r="AF1161" s="627">
        <v>471555.02</v>
      </c>
      <c r="AG1161" s="627"/>
      <c r="AH1161" s="627"/>
      <c r="AI1161" s="627"/>
      <c r="AJ1161" s="627"/>
      <c r="AK1161" s="627"/>
      <c r="AL1161" s="627"/>
    </row>
    <row r="1162" spans="1:38" ht="11.1" customHeight="1" x14ac:dyDescent="0.25">
      <c r="A1162" s="630" t="s">
        <v>4452</v>
      </c>
      <c r="B1162" s="630"/>
      <c r="C1162" s="630"/>
      <c r="L1162" s="630" t="s">
        <v>586</v>
      </c>
      <c r="M1162" s="630"/>
      <c r="N1162" s="630"/>
      <c r="O1162" s="630"/>
      <c r="P1162" s="630"/>
      <c r="Q1162" s="627">
        <v>102409.21</v>
      </c>
      <c r="R1162" s="627"/>
      <c r="T1162" s="631">
        <v>15112.8</v>
      </c>
      <c r="U1162" s="631"/>
      <c r="V1162" s="631"/>
      <c r="Y1162" s="631">
        <v>0</v>
      </c>
      <c r="Z1162" s="631"/>
      <c r="AA1162" s="631"/>
      <c r="AB1162" s="631"/>
      <c r="AC1162" s="631"/>
      <c r="AD1162" s="631"/>
      <c r="AF1162" s="627">
        <v>117522.01</v>
      </c>
      <c r="AG1162" s="627"/>
      <c r="AH1162" s="627"/>
      <c r="AI1162" s="627"/>
      <c r="AJ1162" s="627"/>
      <c r="AK1162" s="627"/>
      <c r="AL1162" s="627"/>
    </row>
    <row r="1163" spans="1:38" ht="11.1" customHeight="1" x14ac:dyDescent="0.25">
      <c r="A1163" s="630" t="s">
        <v>2631</v>
      </c>
      <c r="B1163" s="630"/>
      <c r="C1163" s="630"/>
      <c r="M1163" s="630" t="s">
        <v>503</v>
      </c>
      <c r="N1163" s="630"/>
      <c r="O1163" s="630"/>
      <c r="P1163" s="630"/>
      <c r="Q1163" s="627">
        <v>38613.980000000003</v>
      </c>
      <c r="R1163" s="627"/>
      <c r="T1163" s="631">
        <v>2680.04</v>
      </c>
      <c r="U1163" s="631"/>
      <c r="V1163" s="631"/>
      <c r="Y1163" s="631">
        <v>0</v>
      </c>
      <c r="Z1163" s="631"/>
      <c r="AA1163" s="631"/>
      <c r="AB1163" s="631"/>
      <c r="AC1163" s="631"/>
      <c r="AD1163" s="631"/>
      <c r="AF1163" s="627">
        <v>41294.019999999997</v>
      </c>
      <c r="AG1163" s="627"/>
      <c r="AH1163" s="627"/>
      <c r="AI1163" s="627"/>
      <c r="AJ1163" s="627"/>
      <c r="AK1163" s="627"/>
      <c r="AL1163" s="627"/>
    </row>
    <row r="1164" spans="1:38" ht="11.1" customHeight="1" x14ac:dyDescent="0.25">
      <c r="A1164" s="630" t="s">
        <v>2632</v>
      </c>
      <c r="B1164" s="630"/>
      <c r="C1164" s="630"/>
      <c r="M1164" s="630" t="s">
        <v>501</v>
      </c>
      <c r="N1164" s="630"/>
      <c r="O1164" s="630"/>
      <c r="P1164" s="630"/>
      <c r="Q1164" s="627">
        <v>25156.799999999999</v>
      </c>
      <c r="R1164" s="627"/>
      <c r="T1164" s="631">
        <v>6966.75</v>
      </c>
      <c r="U1164" s="631"/>
      <c r="V1164" s="631"/>
      <c r="Y1164" s="631">
        <v>0</v>
      </c>
      <c r="Z1164" s="631"/>
      <c r="AA1164" s="631"/>
      <c r="AB1164" s="631"/>
      <c r="AC1164" s="631"/>
      <c r="AD1164" s="631"/>
      <c r="AF1164" s="627">
        <v>32123.55</v>
      </c>
      <c r="AG1164" s="627"/>
      <c r="AH1164" s="627"/>
      <c r="AI1164" s="627"/>
      <c r="AJ1164" s="627"/>
      <c r="AK1164" s="627"/>
      <c r="AL1164" s="627"/>
    </row>
    <row r="1165" spans="1:38" ht="11.1" customHeight="1" x14ac:dyDescent="0.25">
      <c r="A1165" s="630" t="s">
        <v>2633</v>
      </c>
      <c r="B1165" s="630"/>
      <c r="C1165" s="630"/>
      <c r="M1165" s="630" t="s">
        <v>1645</v>
      </c>
      <c r="N1165" s="630"/>
      <c r="O1165" s="630"/>
      <c r="P1165" s="630"/>
      <c r="Q1165" s="627">
        <v>37438.379999999997</v>
      </c>
      <c r="R1165" s="627"/>
      <c r="T1165" s="631">
        <v>5361.21</v>
      </c>
      <c r="U1165" s="631"/>
      <c r="V1165" s="631"/>
      <c r="Y1165" s="631">
        <v>0</v>
      </c>
      <c r="Z1165" s="631"/>
      <c r="AA1165" s="631"/>
      <c r="AB1165" s="631"/>
      <c r="AC1165" s="631"/>
      <c r="AD1165" s="631"/>
      <c r="AF1165" s="627">
        <v>42799.59</v>
      </c>
      <c r="AG1165" s="627"/>
      <c r="AH1165" s="627"/>
      <c r="AI1165" s="627"/>
      <c r="AJ1165" s="627"/>
      <c r="AK1165" s="627"/>
      <c r="AL1165" s="627"/>
    </row>
    <row r="1166" spans="1:38" ht="11.1" customHeight="1" x14ac:dyDescent="0.25">
      <c r="A1166" s="630" t="s">
        <v>2634</v>
      </c>
      <c r="B1166" s="630"/>
      <c r="C1166" s="630"/>
      <c r="M1166" s="630" t="s">
        <v>1647</v>
      </c>
      <c r="N1166" s="630"/>
      <c r="O1166" s="630"/>
      <c r="P1166" s="630"/>
      <c r="Q1166" s="627">
        <v>1200.05</v>
      </c>
      <c r="R1166" s="627"/>
      <c r="T1166" s="631">
        <v>104.8</v>
      </c>
      <c r="U1166" s="631"/>
      <c r="V1166" s="631"/>
      <c r="Y1166" s="631">
        <v>0</v>
      </c>
      <c r="Z1166" s="631"/>
      <c r="AA1166" s="631"/>
      <c r="AB1166" s="631"/>
      <c r="AC1166" s="631"/>
      <c r="AD1166" s="631"/>
      <c r="AF1166" s="627">
        <v>1304.8499999999999</v>
      </c>
      <c r="AG1166" s="627"/>
      <c r="AH1166" s="627"/>
      <c r="AI1166" s="627"/>
      <c r="AJ1166" s="627"/>
      <c r="AK1166" s="627"/>
      <c r="AL1166" s="627"/>
    </row>
    <row r="1167" spans="1:38" ht="11.1" customHeight="1" x14ac:dyDescent="0.25">
      <c r="A1167" s="630" t="s">
        <v>4453</v>
      </c>
      <c r="B1167" s="630"/>
      <c r="C1167" s="630"/>
      <c r="L1167" s="630" t="s">
        <v>302</v>
      </c>
      <c r="M1167" s="630"/>
      <c r="N1167" s="630"/>
      <c r="O1167" s="630"/>
      <c r="P1167" s="630"/>
      <c r="Q1167" s="627">
        <v>111975.19</v>
      </c>
      <c r="R1167" s="627"/>
      <c r="T1167" s="631">
        <v>18483.72</v>
      </c>
      <c r="U1167" s="631"/>
      <c r="V1167" s="631"/>
      <c r="Y1167" s="631">
        <v>0</v>
      </c>
      <c r="Z1167" s="631"/>
      <c r="AA1167" s="631"/>
      <c r="AB1167" s="631"/>
      <c r="AC1167" s="631"/>
      <c r="AD1167" s="631"/>
      <c r="AF1167" s="627">
        <v>130458.91</v>
      </c>
      <c r="AG1167" s="627"/>
      <c r="AH1167" s="627"/>
      <c r="AI1167" s="627"/>
      <c r="AJ1167" s="627"/>
      <c r="AK1167" s="627"/>
      <c r="AL1167" s="627"/>
    </row>
    <row r="1168" spans="1:38" ht="11.1" customHeight="1" x14ac:dyDescent="0.25">
      <c r="A1168" s="630" t="s">
        <v>2635</v>
      </c>
      <c r="B1168" s="630"/>
      <c r="C1168" s="630"/>
      <c r="M1168" s="630" t="s">
        <v>1640</v>
      </c>
      <c r="N1168" s="630"/>
      <c r="O1168" s="630"/>
      <c r="P1168" s="630"/>
      <c r="Q1168" s="627">
        <v>111975.19</v>
      </c>
      <c r="R1168" s="627"/>
      <c r="T1168" s="631">
        <v>18483.72</v>
      </c>
      <c r="U1168" s="631"/>
      <c r="V1168" s="631"/>
      <c r="Y1168" s="631">
        <v>0</v>
      </c>
      <c r="Z1168" s="631"/>
      <c r="AA1168" s="631"/>
      <c r="AB1168" s="631"/>
      <c r="AC1168" s="631"/>
      <c r="AD1168" s="631"/>
      <c r="AF1168" s="627">
        <v>130458.91</v>
      </c>
      <c r="AG1168" s="627"/>
      <c r="AH1168" s="627"/>
      <c r="AI1168" s="627"/>
      <c r="AJ1168" s="627"/>
      <c r="AK1168" s="627"/>
      <c r="AL1168" s="627"/>
    </row>
    <row r="1169" spans="1:38" ht="11.1" customHeight="1" x14ac:dyDescent="0.25">
      <c r="A1169" s="630" t="s">
        <v>4454</v>
      </c>
      <c r="B1169" s="630"/>
      <c r="C1169" s="630"/>
      <c r="L1169" s="630" t="s">
        <v>591</v>
      </c>
      <c r="M1169" s="630"/>
      <c r="N1169" s="630"/>
      <c r="O1169" s="630"/>
      <c r="P1169" s="630"/>
      <c r="Q1169" s="627">
        <v>196702.13</v>
      </c>
      <c r="R1169" s="627"/>
      <c r="T1169" s="631">
        <v>26871.97</v>
      </c>
      <c r="U1169" s="631"/>
      <c r="V1169" s="631"/>
      <c r="Y1169" s="631">
        <v>0</v>
      </c>
      <c r="Z1169" s="631"/>
      <c r="AA1169" s="631"/>
      <c r="AB1169" s="631"/>
      <c r="AC1169" s="631"/>
      <c r="AD1169" s="631"/>
      <c r="AF1169" s="627">
        <v>223574.1</v>
      </c>
      <c r="AG1169" s="627"/>
      <c r="AH1169" s="627"/>
      <c r="AI1169" s="627"/>
      <c r="AJ1169" s="627"/>
      <c r="AK1169" s="627"/>
      <c r="AL1169" s="627"/>
    </row>
    <row r="1170" spans="1:38" ht="11.1" customHeight="1" x14ac:dyDescent="0.25">
      <c r="A1170" s="630" t="s">
        <v>2636</v>
      </c>
      <c r="B1170" s="630"/>
      <c r="C1170" s="630"/>
      <c r="M1170" s="630" t="s">
        <v>503</v>
      </c>
      <c r="N1170" s="630"/>
      <c r="O1170" s="630"/>
      <c r="P1170" s="630"/>
      <c r="Q1170" s="627">
        <v>84560.75</v>
      </c>
      <c r="R1170" s="627"/>
      <c r="T1170" s="631">
        <v>6041.25</v>
      </c>
      <c r="U1170" s="631"/>
      <c r="V1170" s="631"/>
      <c r="Y1170" s="631">
        <v>0</v>
      </c>
      <c r="Z1170" s="631"/>
      <c r="AA1170" s="631"/>
      <c r="AB1170" s="631"/>
      <c r="AC1170" s="631"/>
      <c r="AD1170" s="631"/>
      <c r="AF1170" s="627">
        <v>90602</v>
      </c>
      <c r="AG1170" s="627"/>
      <c r="AH1170" s="627"/>
      <c r="AI1170" s="627"/>
      <c r="AJ1170" s="627"/>
      <c r="AK1170" s="627"/>
      <c r="AL1170" s="627"/>
    </row>
    <row r="1171" spans="1:38" ht="11.1" customHeight="1" x14ac:dyDescent="0.25">
      <c r="A1171" s="630" t="s">
        <v>2637</v>
      </c>
      <c r="B1171" s="630"/>
      <c r="C1171" s="630"/>
      <c r="M1171" s="630" t="s">
        <v>501</v>
      </c>
      <c r="N1171" s="630"/>
      <c r="O1171" s="630"/>
      <c r="P1171" s="630"/>
      <c r="Q1171" s="627">
        <v>53737.13</v>
      </c>
      <c r="R1171" s="627"/>
      <c r="T1171" s="631">
        <v>12582.31</v>
      </c>
      <c r="U1171" s="631"/>
      <c r="V1171" s="631"/>
      <c r="Y1171" s="631">
        <v>0</v>
      </c>
      <c r="Z1171" s="631"/>
      <c r="AA1171" s="631"/>
      <c r="AB1171" s="631"/>
      <c r="AC1171" s="631"/>
      <c r="AD1171" s="631"/>
      <c r="AF1171" s="627">
        <v>66319.44</v>
      </c>
      <c r="AG1171" s="627"/>
      <c r="AH1171" s="627"/>
      <c r="AI1171" s="627"/>
      <c r="AJ1171" s="627"/>
      <c r="AK1171" s="627"/>
      <c r="AL1171" s="627"/>
    </row>
    <row r="1172" spans="1:38" ht="11.1" customHeight="1" x14ac:dyDescent="0.25">
      <c r="A1172" s="630" t="s">
        <v>2638</v>
      </c>
      <c r="B1172" s="630"/>
      <c r="C1172" s="630"/>
      <c r="M1172" s="630" t="s">
        <v>505</v>
      </c>
      <c r="N1172" s="630"/>
      <c r="O1172" s="630"/>
      <c r="P1172" s="630"/>
      <c r="Q1172" s="627">
        <v>-52.22</v>
      </c>
      <c r="R1172" s="627"/>
      <c r="T1172" s="631">
        <v>52.22</v>
      </c>
      <c r="U1172" s="631"/>
      <c r="V1172" s="631"/>
      <c r="Y1172" s="631">
        <v>0</v>
      </c>
      <c r="Z1172" s="631"/>
      <c r="AA1172" s="631"/>
      <c r="AB1172" s="631"/>
      <c r="AC1172" s="631"/>
      <c r="AD1172" s="631"/>
      <c r="AF1172" s="627">
        <v>0</v>
      </c>
      <c r="AG1172" s="627"/>
      <c r="AH1172" s="627"/>
      <c r="AI1172" s="627"/>
      <c r="AJ1172" s="627"/>
      <c r="AK1172" s="627"/>
      <c r="AL1172" s="627"/>
    </row>
    <row r="1173" spans="1:38" ht="11.1" customHeight="1" x14ac:dyDescent="0.25">
      <c r="A1173" s="630" t="s">
        <v>2639</v>
      </c>
      <c r="B1173" s="630"/>
      <c r="C1173" s="630"/>
      <c r="M1173" s="630" t="s">
        <v>1645</v>
      </c>
      <c r="N1173" s="630"/>
      <c r="O1173" s="630"/>
      <c r="P1173" s="630"/>
      <c r="Q1173" s="627">
        <v>55942.12</v>
      </c>
      <c r="R1173" s="627"/>
      <c r="T1173" s="631">
        <v>8007.55</v>
      </c>
      <c r="U1173" s="631"/>
      <c r="V1173" s="631"/>
      <c r="Y1173" s="631">
        <v>0</v>
      </c>
      <c r="Z1173" s="631"/>
      <c r="AA1173" s="631"/>
      <c r="AB1173" s="631"/>
      <c r="AC1173" s="631"/>
      <c r="AD1173" s="631"/>
      <c r="AF1173" s="627">
        <v>63949.67</v>
      </c>
      <c r="AG1173" s="627"/>
      <c r="AH1173" s="627"/>
      <c r="AI1173" s="627"/>
      <c r="AJ1173" s="627"/>
      <c r="AK1173" s="627"/>
      <c r="AL1173" s="627"/>
    </row>
    <row r="1174" spans="1:38" ht="11.1" customHeight="1" x14ac:dyDescent="0.25">
      <c r="A1174" s="630" t="s">
        <v>2640</v>
      </c>
      <c r="B1174" s="630"/>
      <c r="C1174" s="630"/>
      <c r="M1174" s="630" t="s">
        <v>1656</v>
      </c>
      <c r="N1174" s="630"/>
      <c r="O1174" s="630"/>
      <c r="P1174" s="630"/>
      <c r="Q1174" s="627">
        <v>2514.35</v>
      </c>
      <c r="R1174" s="627"/>
      <c r="T1174" s="631">
        <v>188.64</v>
      </c>
      <c r="U1174" s="631"/>
      <c r="V1174" s="631"/>
      <c r="Y1174" s="631">
        <v>0</v>
      </c>
      <c r="Z1174" s="631"/>
      <c r="AA1174" s="631"/>
      <c r="AB1174" s="631"/>
      <c r="AC1174" s="631"/>
      <c r="AD1174" s="631"/>
      <c r="AF1174" s="627">
        <v>2702.99</v>
      </c>
      <c r="AG1174" s="627"/>
      <c r="AH1174" s="627"/>
      <c r="AI1174" s="627"/>
      <c r="AJ1174" s="627"/>
      <c r="AK1174" s="627"/>
      <c r="AL1174" s="627"/>
    </row>
    <row r="1175" spans="1:38" ht="11.1" customHeight="1" x14ac:dyDescent="0.25">
      <c r="A1175" s="630" t="s">
        <v>4455</v>
      </c>
      <c r="B1175" s="630"/>
      <c r="C1175" s="630"/>
      <c r="K1175" s="630" t="s">
        <v>331</v>
      </c>
      <c r="L1175" s="630"/>
      <c r="M1175" s="630"/>
      <c r="N1175" s="630"/>
      <c r="O1175" s="630"/>
      <c r="P1175" s="630"/>
      <c r="Q1175" s="627">
        <v>879</v>
      </c>
      <c r="R1175" s="627"/>
      <c r="T1175" s="631">
        <v>0</v>
      </c>
      <c r="U1175" s="631"/>
      <c r="V1175" s="631"/>
      <c r="Y1175" s="631">
        <v>0</v>
      </c>
      <c r="Z1175" s="631"/>
      <c r="AA1175" s="631"/>
      <c r="AB1175" s="631"/>
      <c r="AC1175" s="631"/>
      <c r="AD1175" s="631"/>
      <c r="AF1175" s="627">
        <v>879</v>
      </c>
      <c r="AG1175" s="627"/>
      <c r="AH1175" s="627"/>
      <c r="AI1175" s="627"/>
      <c r="AJ1175" s="627"/>
      <c r="AK1175" s="627"/>
      <c r="AL1175" s="627"/>
    </row>
    <row r="1176" spans="1:38" ht="11.1" customHeight="1" x14ac:dyDescent="0.25">
      <c r="A1176" s="630" t="s">
        <v>4456</v>
      </c>
      <c r="B1176" s="630"/>
      <c r="C1176" s="630"/>
      <c r="L1176" s="630" t="s">
        <v>591</v>
      </c>
      <c r="M1176" s="630"/>
      <c r="N1176" s="630"/>
      <c r="O1176" s="630"/>
      <c r="P1176" s="630"/>
      <c r="Q1176" s="627">
        <v>879</v>
      </c>
      <c r="R1176" s="627"/>
      <c r="T1176" s="631">
        <v>0</v>
      </c>
      <c r="U1176" s="631"/>
      <c r="V1176" s="631"/>
      <c r="Y1176" s="631">
        <v>0</v>
      </c>
      <c r="Z1176" s="631"/>
      <c r="AA1176" s="631"/>
      <c r="AB1176" s="631"/>
      <c r="AC1176" s="631"/>
      <c r="AD1176" s="631"/>
      <c r="AF1176" s="627">
        <v>879</v>
      </c>
      <c r="AG1176" s="627"/>
      <c r="AH1176" s="627"/>
      <c r="AI1176" s="627"/>
      <c r="AJ1176" s="627"/>
      <c r="AK1176" s="627"/>
      <c r="AL1176" s="627"/>
    </row>
    <row r="1177" spans="1:38" ht="11.1" customHeight="1" x14ac:dyDescent="0.25">
      <c r="A1177" s="630" t="s">
        <v>2641</v>
      </c>
      <c r="B1177" s="630"/>
      <c r="C1177" s="630"/>
      <c r="M1177" s="630" t="s">
        <v>2487</v>
      </c>
      <c r="N1177" s="630"/>
      <c r="O1177" s="630"/>
      <c r="P1177" s="630"/>
      <c r="Q1177" s="627">
        <v>879</v>
      </c>
      <c r="R1177" s="627"/>
      <c r="T1177" s="631">
        <v>0</v>
      </c>
      <c r="U1177" s="631"/>
      <c r="V1177" s="631"/>
      <c r="Y1177" s="631">
        <v>0</v>
      </c>
      <c r="Z1177" s="631"/>
      <c r="AA1177" s="631"/>
      <c r="AB1177" s="631"/>
      <c r="AC1177" s="631"/>
      <c r="AD1177" s="631"/>
      <c r="AF1177" s="627">
        <v>879</v>
      </c>
      <c r="AG1177" s="627"/>
      <c r="AH1177" s="627"/>
      <c r="AI1177" s="627"/>
      <c r="AJ1177" s="627"/>
      <c r="AK1177" s="627"/>
      <c r="AL1177" s="627"/>
    </row>
    <row r="1178" spans="1:38" ht="11.1" customHeight="1" x14ac:dyDescent="0.25">
      <c r="A1178" s="632" t="s">
        <v>4457</v>
      </c>
      <c r="B1178" s="632"/>
      <c r="C1178" s="632"/>
      <c r="J1178" s="632" t="s">
        <v>1660</v>
      </c>
      <c r="K1178" s="632"/>
      <c r="L1178" s="632"/>
      <c r="M1178" s="632"/>
      <c r="N1178" s="632"/>
      <c r="O1178" s="632"/>
      <c r="P1178" s="632"/>
      <c r="Q1178" s="633">
        <v>103973.85</v>
      </c>
      <c r="R1178" s="633"/>
      <c r="T1178" s="634">
        <v>37103.08</v>
      </c>
      <c r="U1178" s="634"/>
      <c r="V1178" s="634"/>
      <c r="Y1178" s="634">
        <v>0</v>
      </c>
      <c r="Z1178" s="634"/>
      <c r="AA1178" s="634"/>
      <c r="AB1178" s="634"/>
      <c r="AC1178" s="634"/>
      <c r="AD1178" s="634"/>
      <c r="AF1178" s="633">
        <v>141076.93</v>
      </c>
      <c r="AG1178" s="633"/>
      <c r="AH1178" s="633"/>
      <c r="AI1178" s="633"/>
      <c r="AJ1178" s="633"/>
      <c r="AK1178" s="633"/>
      <c r="AL1178" s="633"/>
    </row>
    <row r="1179" spans="1:38" ht="11.1" customHeight="1" x14ac:dyDescent="0.25">
      <c r="A1179" s="630" t="s">
        <v>4458</v>
      </c>
      <c r="B1179" s="630"/>
      <c r="C1179" s="630"/>
      <c r="K1179" s="630" t="s">
        <v>1660</v>
      </c>
      <c r="L1179" s="630"/>
      <c r="M1179" s="630"/>
      <c r="N1179" s="630"/>
      <c r="O1179" s="630"/>
      <c r="P1179" s="630"/>
      <c r="Q1179" s="627">
        <v>103973.85</v>
      </c>
      <c r="R1179" s="627"/>
      <c r="T1179" s="631">
        <v>37103.08</v>
      </c>
      <c r="U1179" s="631"/>
      <c r="V1179" s="631"/>
      <c r="Y1179" s="631">
        <v>0</v>
      </c>
      <c r="Z1179" s="631"/>
      <c r="AA1179" s="631"/>
      <c r="AB1179" s="631"/>
      <c r="AC1179" s="631"/>
      <c r="AD1179" s="631"/>
      <c r="AF1179" s="627">
        <v>141076.93</v>
      </c>
      <c r="AG1179" s="627"/>
      <c r="AH1179" s="627"/>
      <c r="AI1179" s="627"/>
      <c r="AJ1179" s="627"/>
      <c r="AK1179" s="627"/>
      <c r="AL1179" s="627"/>
    </row>
    <row r="1180" spans="1:38" ht="11.1" customHeight="1" x14ac:dyDescent="0.25">
      <c r="A1180" s="630" t="s">
        <v>4459</v>
      </c>
      <c r="B1180" s="630"/>
      <c r="C1180" s="630"/>
      <c r="L1180" s="630" t="s">
        <v>586</v>
      </c>
      <c r="M1180" s="630"/>
      <c r="N1180" s="630"/>
      <c r="O1180" s="630"/>
      <c r="P1180" s="630"/>
      <c r="Q1180" s="627">
        <v>12139.62</v>
      </c>
      <c r="R1180" s="627"/>
      <c r="T1180" s="631">
        <v>4657.4799999999996</v>
      </c>
      <c r="U1180" s="631"/>
      <c r="V1180" s="631"/>
      <c r="Y1180" s="631">
        <v>0</v>
      </c>
      <c r="Z1180" s="631"/>
      <c r="AA1180" s="631"/>
      <c r="AB1180" s="631"/>
      <c r="AC1180" s="631"/>
      <c r="AD1180" s="631"/>
      <c r="AF1180" s="627">
        <v>16797.099999999999</v>
      </c>
      <c r="AG1180" s="627"/>
      <c r="AH1180" s="627"/>
      <c r="AI1180" s="627"/>
      <c r="AJ1180" s="627"/>
      <c r="AK1180" s="627"/>
      <c r="AL1180" s="627"/>
    </row>
    <row r="1181" spans="1:38" ht="11.1" customHeight="1" x14ac:dyDescent="0.25">
      <c r="A1181" s="630" t="s">
        <v>4460</v>
      </c>
      <c r="B1181" s="630"/>
      <c r="C1181" s="630"/>
      <c r="M1181" s="630" t="s">
        <v>2488</v>
      </c>
      <c r="N1181" s="630"/>
      <c r="O1181" s="630"/>
      <c r="P1181" s="630"/>
      <c r="Q1181" s="627">
        <v>1075.74</v>
      </c>
      <c r="R1181" s="627"/>
      <c r="T1181" s="631">
        <v>0</v>
      </c>
      <c r="U1181" s="631"/>
      <c r="V1181" s="631"/>
      <c r="Y1181" s="631">
        <v>0</v>
      </c>
      <c r="Z1181" s="631"/>
      <c r="AA1181" s="631"/>
      <c r="AB1181" s="631"/>
      <c r="AC1181" s="631"/>
      <c r="AD1181" s="631"/>
      <c r="AF1181" s="627">
        <v>1075.74</v>
      </c>
      <c r="AG1181" s="627"/>
      <c r="AH1181" s="627"/>
      <c r="AI1181" s="627"/>
      <c r="AJ1181" s="627"/>
      <c r="AK1181" s="627"/>
      <c r="AL1181" s="627"/>
    </row>
    <row r="1182" spans="1:38" ht="11.1" customHeight="1" x14ac:dyDescent="0.25">
      <c r="A1182" s="630" t="s">
        <v>4461</v>
      </c>
      <c r="B1182" s="630"/>
      <c r="C1182" s="630"/>
      <c r="M1182" s="630" t="s">
        <v>2490</v>
      </c>
      <c r="N1182" s="630"/>
      <c r="O1182" s="630"/>
      <c r="P1182" s="630"/>
      <c r="Q1182" s="627">
        <v>307.2</v>
      </c>
      <c r="R1182" s="627"/>
      <c r="T1182" s="631">
        <v>0</v>
      </c>
      <c r="U1182" s="631"/>
      <c r="V1182" s="631"/>
      <c r="Y1182" s="631">
        <v>0</v>
      </c>
      <c r="Z1182" s="631"/>
      <c r="AA1182" s="631"/>
      <c r="AB1182" s="631"/>
      <c r="AC1182" s="631"/>
      <c r="AD1182" s="631"/>
      <c r="AF1182" s="627">
        <v>307.2</v>
      </c>
      <c r="AG1182" s="627"/>
      <c r="AH1182" s="627"/>
      <c r="AI1182" s="627"/>
      <c r="AJ1182" s="627"/>
      <c r="AK1182" s="627"/>
      <c r="AL1182" s="627"/>
    </row>
    <row r="1183" spans="1:38" ht="11.1" customHeight="1" x14ac:dyDescent="0.25">
      <c r="A1183" s="630" t="s">
        <v>4462</v>
      </c>
      <c r="B1183" s="630"/>
      <c r="C1183" s="630"/>
      <c r="M1183" s="630" t="s">
        <v>2512</v>
      </c>
      <c r="N1183" s="630"/>
      <c r="O1183" s="630"/>
      <c r="P1183" s="630"/>
      <c r="Q1183" s="627">
        <v>0</v>
      </c>
      <c r="R1183" s="627"/>
      <c r="T1183" s="631">
        <v>2428.48</v>
      </c>
      <c r="U1183" s="631"/>
      <c r="V1183" s="631"/>
      <c r="Y1183" s="631">
        <v>0</v>
      </c>
      <c r="Z1183" s="631"/>
      <c r="AA1183" s="631"/>
      <c r="AB1183" s="631"/>
      <c r="AC1183" s="631"/>
      <c r="AD1183" s="631"/>
      <c r="AF1183" s="627">
        <v>2428.48</v>
      </c>
      <c r="AG1183" s="627"/>
      <c r="AH1183" s="627"/>
      <c r="AI1183" s="627"/>
      <c r="AJ1183" s="627"/>
      <c r="AK1183" s="627"/>
      <c r="AL1183" s="627"/>
    </row>
    <row r="1184" spans="1:38" ht="11.1" customHeight="1" x14ac:dyDescent="0.25">
      <c r="A1184" s="630" t="s">
        <v>4463</v>
      </c>
      <c r="B1184" s="630"/>
      <c r="C1184" s="630"/>
      <c r="M1184" s="630" t="s">
        <v>1669</v>
      </c>
      <c r="N1184" s="630"/>
      <c r="O1184" s="630"/>
      <c r="P1184" s="630"/>
      <c r="Q1184" s="627">
        <v>281.05</v>
      </c>
      <c r="R1184" s="627"/>
      <c r="T1184" s="631">
        <v>0</v>
      </c>
      <c r="U1184" s="631"/>
      <c r="V1184" s="631"/>
      <c r="Y1184" s="631">
        <v>0</v>
      </c>
      <c r="Z1184" s="631"/>
      <c r="AA1184" s="631"/>
      <c r="AB1184" s="631"/>
      <c r="AC1184" s="631"/>
      <c r="AD1184" s="631"/>
      <c r="AF1184" s="627">
        <v>281.05</v>
      </c>
      <c r="AG1184" s="627"/>
      <c r="AH1184" s="627"/>
      <c r="AI1184" s="627"/>
      <c r="AJ1184" s="627"/>
      <c r="AK1184" s="627"/>
      <c r="AL1184" s="627"/>
    </row>
    <row r="1185" spans="1:38" ht="11.1" customHeight="1" x14ac:dyDescent="0.25">
      <c r="A1185" s="630" t="s">
        <v>4464</v>
      </c>
      <c r="B1185" s="630"/>
      <c r="C1185" s="630"/>
      <c r="M1185" s="630" t="s">
        <v>2930</v>
      </c>
      <c r="N1185" s="630"/>
      <c r="O1185" s="630"/>
      <c r="P1185" s="630"/>
      <c r="Q1185" s="627">
        <v>6178.5</v>
      </c>
      <c r="R1185" s="627"/>
      <c r="T1185" s="631">
        <v>0</v>
      </c>
      <c r="U1185" s="631"/>
      <c r="V1185" s="631"/>
      <c r="Y1185" s="631">
        <v>0</v>
      </c>
      <c r="Z1185" s="631"/>
      <c r="AA1185" s="631"/>
      <c r="AB1185" s="631"/>
      <c r="AC1185" s="631"/>
      <c r="AD1185" s="631"/>
      <c r="AF1185" s="627">
        <v>6178.5</v>
      </c>
      <c r="AG1185" s="627"/>
      <c r="AH1185" s="627"/>
      <c r="AI1185" s="627"/>
      <c r="AJ1185" s="627"/>
      <c r="AK1185" s="627"/>
      <c r="AL1185" s="627"/>
    </row>
    <row r="1186" spans="1:38" ht="11.1" customHeight="1" x14ac:dyDescent="0.25">
      <c r="A1186" s="630" t="s">
        <v>4465</v>
      </c>
      <c r="B1186" s="630"/>
      <c r="C1186" s="630"/>
      <c r="M1186" s="630" t="s">
        <v>2248</v>
      </c>
      <c r="N1186" s="630"/>
      <c r="O1186" s="630"/>
      <c r="P1186" s="630"/>
      <c r="Q1186" s="627">
        <v>61.79</v>
      </c>
      <c r="R1186" s="627"/>
      <c r="T1186" s="631">
        <v>0</v>
      </c>
      <c r="U1186" s="631"/>
      <c r="V1186" s="631"/>
      <c r="Y1186" s="631">
        <v>0</v>
      </c>
      <c r="Z1186" s="631"/>
      <c r="AA1186" s="631"/>
      <c r="AB1186" s="631"/>
      <c r="AC1186" s="631"/>
      <c r="AD1186" s="631"/>
      <c r="AF1186" s="627">
        <v>61.79</v>
      </c>
      <c r="AG1186" s="627"/>
      <c r="AH1186" s="627"/>
      <c r="AI1186" s="627"/>
      <c r="AJ1186" s="627"/>
      <c r="AK1186" s="627"/>
      <c r="AL1186" s="627"/>
    </row>
    <row r="1187" spans="1:38" ht="11.1" customHeight="1" x14ac:dyDescent="0.25">
      <c r="A1187" s="630" t="s">
        <v>4466</v>
      </c>
      <c r="B1187" s="630"/>
      <c r="C1187" s="630"/>
      <c r="M1187" s="630" t="s">
        <v>2491</v>
      </c>
      <c r="N1187" s="630"/>
      <c r="O1187" s="630"/>
      <c r="P1187" s="630"/>
      <c r="Q1187" s="627">
        <v>4002.6</v>
      </c>
      <c r="R1187" s="627"/>
      <c r="T1187" s="631">
        <v>2229</v>
      </c>
      <c r="U1187" s="631"/>
      <c r="V1187" s="631"/>
      <c r="Y1187" s="631">
        <v>0</v>
      </c>
      <c r="Z1187" s="631"/>
      <c r="AA1187" s="631"/>
      <c r="AB1187" s="631"/>
      <c r="AC1187" s="631"/>
      <c r="AD1187" s="631"/>
      <c r="AF1187" s="627">
        <v>6231.6</v>
      </c>
      <c r="AG1187" s="627"/>
      <c r="AH1187" s="627"/>
      <c r="AI1187" s="627"/>
      <c r="AJ1187" s="627"/>
      <c r="AK1187" s="627"/>
      <c r="AL1187" s="627"/>
    </row>
    <row r="1188" spans="1:38" ht="11.1" customHeight="1" x14ac:dyDescent="0.25">
      <c r="A1188" s="630" t="s">
        <v>4467</v>
      </c>
      <c r="B1188" s="630"/>
      <c r="C1188" s="630"/>
      <c r="M1188" s="630" t="s">
        <v>2932</v>
      </c>
      <c r="N1188" s="630"/>
      <c r="O1188" s="630"/>
      <c r="P1188" s="630"/>
      <c r="Q1188" s="627">
        <v>232.74</v>
      </c>
      <c r="R1188" s="627"/>
      <c r="T1188" s="631">
        <v>0</v>
      </c>
      <c r="U1188" s="631"/>
      <c r="V1188" s="631"/>
      <c r="Y1188" s="631">
        <v>0</v>
      </c>
      <c r="Z1188" s="631"/>
      <c r="AA1188" s="631"/>
      <c r="AB1188" s="631"/>
      <c r="AC1188" s="631"/>
      <c r="AD1188" s="631"/>
      <c r="AF1188" s="627">
        <v>232.74</v>
      </c>
      <c r="AG1188" s="627"/>
      <c r="AH1188" s="627"/>
      <c r="AI1188" s="627"/>
      <c r="AJ1188" s="627"/>
      <c r="AK1188" s="627"/>
      <c r="AL1188" s="627"/>
    </row>
    <row r="1189" spans="1:38" ht="11.1" customHeight="1" x14ac:dyDescent="0.25">
      <c r="A1189" s="630" t="s">
        <v>4468</v>
      </c>
      <c r="B1189" s="630"/>
      <c r="C1189" s="630"/>
      <c r="L1189" s="630" t="s">
        <v>302</v>
      </c>
      <c r="M1189" s="630"/>
      <c r="N1189" s="630"/>
      <c r="O1189" s="630"/>
      <c r="P1189" s="630"/>
      <c r="Q1189" s="627">
        <v>79067.14</v>
      </c>
      <c r="R1189" s="627"/>
      <c r="T1189" s="631">
        <v>30822.02</v>
      </c>
      <c r="U1189" s="631"/>
      <c r="V1189" s="631"/>
      <c r="Y1189" s="631">
        <v>0</v>
      </c>
      <c r="Z1189" s="631"/>
      <c r="AA1189" s="631"/>
      <c r="AB1189" s="631"/>
      <c r="AC1189" s="631"/>
      <c r="AD1189" s="631"/>
      <c r="AF1189" s="627">
        <v>109889.16</v>
      </c>
      <c r="AG1189" s="627"/>
      <c r="AH1189" s="627"/>
      <c r="AI1189" s="627"/>
      <c r="AJ1189" s="627"/>
      <c r="AK1189" s="627"/>
      <c r="AL1189" s="627"/>
    </row>
    <row r="1190" spans="1:38" ht="11.1" customHeight="1" x14ac:dyDescent="0.25">
      <c r="A1190" s="630" t="s">
        <v>4469</v>
      </c>
      <c r="B1190" s="630"/>
      <c r="C1190" s="630"/>
      <c r="M1190" s="630" t="s">
        <v>2492</v>
      </c>
      <c r="N1190" s="630"/>
      <c r="O1190" s="630"/>
      <c r="P1190" s="630"/>
      <c r="Q1190" s="627">
        <v>79067.14</v>
      </c>
      <c r="R1190" s="627"/>
      <c r="T1190" s="631">
        <v>30822.02</v>
      </c>
      <c r="U1190" s="631"/>
      <c r="V1190" s="631"/>
      <c r="Y1190" s="631">
        <v>0</v>
      </c>
      <c r="Z1190" s="631"/>
      <c r="AA1190" s="631"/>
      <c r="AB1190" s="631"/>
      <c r="AC1190" s="631"/>
      <c r="AD1190" s="631"/>
      <c r="AF1190" s="627">
        <v>109889.16</v>
      </c>
      <c r="AG1190" s="627"/>
      <c r="AH1190" s="627"/>
      <c r="AI1190" s="627"/>
      <c r="AJ1190" s="627"/>
      <c r="AK1190" s="627"/>
      <c r="AL1190" s="627"/>
    </row>
    <row r="1191" spans="1:38" ht="11.1" customHeight="1" x14ac:dyDescent="0.25">
      <c r="A1191" s="630" t="s">
        <v>4470</v>
      </c>
      <c r="B1191" s="630"/>
      <c r="C1191" s="630"/>
      <c r="L1191" s="630" t="s">
        <v>591</v>
      </c>
      <c r="M1191" s="630"/>
      <c r="N1191" s="630"/>
      <c r="O1191" s="630"/>
      <c r="P1191" s="630"/>
      <c r="Q1191" s="627">
        <v>12767.09</v>
      </c>
      <c r="R1191" s="627"/>
      <c r="T1191" s="631">
        <v>1623.58</v>
      </c>
      <c r="U1191" s="631"/>
      <c r="V1191" s="631"/>
      <c r="Y1191" s="631">
        <v>0</v>
      </c>
      <c r="Z1191" s="631"/>
      <c r="AA1191" s="631"/>
      <c r="AB1191" s="631"/>
      <c r="AC1191" s="631"/>
      <c r="AD1191" s="631"/>
      <c r="AF1191" s="627">
        <v>14390.67</v>
      </c>
      <c r="AG1191" s="627"/>
      <c r="AH1191" s="627"/>
      <c r="AI1191" s="627"/>
      <c r="AJ1191" s="627"/>
      <c r="AK1191" s="627"/>
      <c r="AL1191" s="627"/>
    </row>
    <row r="1192" spans="1:38" ht="11.1" customHeight="1" x14ac:dyDescent="0.25">
      <c r="A1192" s="630" t="s">
        <v>4471</v>
      </c>
      <c r="B1192" s="630"/>
      <c r="C1192" s="630"/>
      <c r="M1192" s="630" t="s">
        <v>2493</v>
      </c>
      <c r="N1192" s="630"/>
      <c r="O1192" s="630"/>
      <c r="P1192" s="630"/>
      <c r="Q1192" s="627">
        <v>48.43</v>
      </c>
      <c r="R1192" s="627"/>
      <c r="T1192" s="631">
        <v>0</v>
      </c>
      <c r="U1192" s="631"/>
      <c r="V1192" s="631"/>
      <c r="Y1192" s="631">
        <v>0</v>
      </c>
      <c r="Z1192" s="631"/>
      <c r="AA1192" s="631"/>
      <c r="AB1192" s="631"/>
      <c r="AC1192" s="631"/>
      <c r="AD1192" s="631"/>
      <c r="AF1192" s="627">
        <v>48.43</v>
      </c>
      <c r="AG1192" s="627"/>
      <c r="AH1192" s="627"/>
      <c r="AI1192" s="627"/>
      <c r="AJ1192" s="627"/>
      <c r="AK1192" s="627"/>
      <c r="AL1192" s="627"/>
    </row>
    <row r="1193" spans="1:38" ht="11.1" customHeight="1" x14ac:dyDescent="0.25">
      <c r="A1193" s="630" t="s">
        <v>4472</v>
      </c>
      <c r="B1193" s="630"/>
      <c r="C1193" s="630"/>
      <c r="M1193" s="630" t="s">
        <v>1664</v>
      </c>
      <c r="N1193" s="630"/>
      <c r="O1193" s="630"/>
      <c r="P1193" s="630"/>
      <c r="Q1193" s="627">
        <v>5050.5</v>
      </c>
      <c r="R1193" s="627"/>
      <c r="T1193" s="631">
        <v>602.78</v>
      </c>
      <c r="U1193" s="631"/>
      <c r="V1193" s="631"/>
      <c r="Y1193" s="631">
        <v>0</v>
      </c>
      <c r="Z1193" s="631"/>
      <c r="AA1193" s="631"/>
      <c r="AB1193" s="631"/>
      <c r="AC1193" s="631"/>
      <c r="AD1193" s="631"/>
      <c r="AF1193" s="627">
        <v>5653.28</v>
      </c>
      <c r="AG1193" s="627"/>
      <c r="AH1193" s="627"/>
      <c r="AI1193" s="627"/>
      <c r="AJ1193" s="627"/>
      <c r="AK1193" s="627"/>
      <c r="AL1193" s="627"/>
    </row>
    <row r="1194" spans="1:38" ht="11.1" customHeight="1" x14ac:dyDescent="0.25">
      <c r="A1194" s="630" t="s">
        <v>4473</v>
      </c>
      <c r="B1194" s="630"/>
      <c r="C1194" s="630"/>
      <c r="M1194" s="630" t="s">
        <v>2495</v>
      </c>
      <c r="N1194" s="630"/>
      <c r="O1194" s="630"/>
      <c r="P1194" s="630"/>
      <c r="Q1194" s="627">
        <v>15</v>
      </c>
      <c r="R1194" s="627"/>
      <c r="T1194" s="631">
        <v>0</v>
      </c>
      <c r="U1194" s="631"/>
      <c r="V1194" s="631"/>
      <c r="Y1194" s="631">
        <v>0</v>
      </c>
      <c r="Z1194" s="631"/>
      <c r="AA1194" s="631"/>
      <c r="AB1194" s="631"/>
      <c r="AC1194" s="631"/>
      <c r="AD1194" s="631"/>
      <c r="AF1194" s="627">
        <v>15</v>
      </c>
      <c r="AG1194" s="627"/>
      <c r="AH1194" s="627"/>
      <c r="AI1194" s="627"/>
      <c r="AJ1194" s="627"/>
      <c r="AK1194" s="627"/>
      <c r="AL1194" s="627"/>
    </row>
    <row r="1195" spans="1:38" ht="11.1" customHeight="1" x14ac:dyDescent="0.25">
      <c r="A1195" s="630" t="s">
        <v>4474</v>
      </c>
      <c r="B1195" s="630"/>
      <c r="C1195" s="630"/>
      <c r="M1195" s="630" t="s">
        <v>1672</v>
      </c>
      <c r="N1195" s="630"/>
      <c r="O1195" s="630"/>
      <c r="P1195" s="630"/>
      <c r="Q1195" s="627">
        <v>818.83</v>
      </c>
      <c r="R1195" s="627"/>
      <c r="T1195" s="631">
        <v>0</v>
      </c>
      <c r="U1195" s="631"/>
      <c r="V1195" s="631"/>
      <c r="Y1195" s="631">
        <v>0</v>
      </c>
      <c r="Z1195" s="631"/>
      <c r="AA1195" s="631"/>
      <c r="AB1195" s="631"/>
      <c r="AC1195" s="631"/>
      <c r="AD1195" s="631"/>
      <c r="AF1195" s="627">
        <v>818.83</v>
      </c>
      <c r="AG1195" s="627"/>
      <c r="AH1195" s="627"/>
      <c r="AI1195" s="627"/>
      <c r="AJ1195" s="627"/>
      <c r="AK1195" s="627"/>
      <c r="AL1195" s="627"/>
    </row>
    <row r="1196" spans="1:38" ht="11.1" customHeight="1" x14ac:dyDescent="0.25">
      <c r="A1196" s="630" t="s">
        <v>4475</v>
      </c>
      <c r="B1196" s="630"/>
      <c r="C1196" s="630"/>
      <c r="M1196" s="630" t="s">
        <v>1674</v>
      </c>
      <c r="N1196" s="630"/>
      <c r="O1196" s="630"/>
      <c r="P1196" s="630"/>
      <c r="Q1196" s="627">
        <v>4333.1499999999996</v>
      </c>
      <c r="R1196" s="627"/>
      <c r="T1196" s="631">
        <v>340.8</v>
      </c>
      <c r="U1196" s="631"/>
      <c r="V1196" s="631"/>
      <c r="Y1196" s="631">
        <v>0</v>
      </c>
      <c r="Z1196" s="631"/>
      <c r="AA1196" s="631"/>
      <c r="AB1196" s="631"/>
      <c r="AC1196" s="631"/>
      <c r="AD1196" s="631"/>
      <c r="AF1196" s="627">
        <v>4673.95</v>
      </c>
      <c r="AG1196" s="627"/>
      <c r="AH1196" s="627"/>
      <c r="AI1196" s="627"/>
      <c r="AJ1196" s="627"/>
      <c r="AK1196" s="627"/>
      <c r="AL1196" s="627"/>
    </row>
    <row r="1197" spans="1:38" ht="11.1" customHeight="1" x14ac:dyDescent="0.25">
      <c r="A1197" s="630" t="s">
        <v>4476</v>
      </c>
      <c r="B1197" s="630"/>
      <c r="C1197" s="630"/>
      <c r="M1197" s="630" t="s">
        <v>2248</v>
      </c>
      <c r="N1197" s="630"/>
      <c r="O1197" s="630"/>
      <c r="P1197" s="630"/>
      <c r="Q1197" s="627">
        <v>145.94999999999999</v>
      </c>
      <c r="R1197" s="627"/>
      <c r="T1197" s="631">
        <v>0</v>
      </c>
      <c r="U1197" s="631"/>
      <c r="V1197" s="631"/>
      <c r="Y1197" s="631">
        <v>0</v>
      </c>
      <c r="Z1197" s="631"/>
      <c r="AA1197" s="631"/>
      <c r="AB1197" s="631"/>
      <c r="AC1197" s="631"/>
      <c r="AD1197" s="631"/>
      <c r="AF1197" s="627">
        <v>145.94999999999999</v>
      </c>
      <c r="AG1197" s="627"/>
      <c r="AH1197" s="627"/>
      <c r="AI1197" s="627"/>
      <c r="AJ1197" s="627"/>
      <c r="AK1197" s="627"/>
      <c r="AL1197" s="627"/>
    </row>
    <row r="1198" spans="1:38" ht="11.1" customHeight="1" x14ac:dyDescent="0.25">
      <c r="A1198" s="630" t="s">
        <v>4477</v>
      </c>
      <c r="B1198" s="630"/>
      <c r="C1198" s="630"/>
      <c r="M1198" s="630" t="s">
        <v>2491</v>
      </c>
      <c r="N1198" s="630"/>
      <c r="O1198" s="630"/>
      <c r="P1198" s="630"/>
      <c r="Q1198" s="627">
        <v>2148.27</v>
      </c>
      <c r="R1198" s="627"/>
      <c r="T1198" s="631">
        <v>680</v>
      </c>
      <c r="U1198" s="631"/>
      <c r="V1198" s="631"/>
      <c r="Y1198" s="631">
        <v>0</v>
      </c>
      <c r="Z1198" s="631"/>
      <c r="AA1198" s="631"/>
      <c r="AB1198" s="631"/>
      <c r="AC1198" s="631"/>
      <c r="AD1198" s="631"/>
      <c r="AF1198" s="627">
        <v>2828.27</v>
      </c>
      <c r="AG1198" s="627"/>
      <c r="AH1198" s="627"/>
      <c r="AI1198" s="627"/>
      <c r="AJ1198" s="627"/>
      <c r="AK1198" s="627"/>
      <c r="AL1198" s="627"/>
    </row>
    <row r="1199" spans="1:38" ht="11.1" customHeight="1" x14ac:dyDescent="0.25">
      <c r="A1199" s="630" t="s">
        <v>4478</v>
      </c>
      <c r="B1199" s="630"/>
      <c r="C1199" s="630"/>
      <c r="M1199" s="630" t="s">
        <v>2932</v>
      </c>
      <c r="N1199" s="630"/>
      <c r="O1199" s="630"/>
      <c r="P1199" s="630"/>
      <c r="Q1199" s="627">
        <v>206.96</v>
      </c>
      <c r="R1199" s="627"/>
      <c r="T1199" s="631">
        <v>0</v>
      </c>
      <c r="U1199" s="631"/>
      <c r="V1199" s="631"/>
      <c r="Y1199" s="631">
        <v>0</v>
      </c>
      <c r="Z1199" s="631"/>
      <c r="AA1199" s="631"/>
      <c r="AB1199" s="631"/>
      <c r="AC1199" s="631"/>
      <c r="AD1199" s="631"/>
      <c r="AF1199" s="627">
        <v>206.96</v>
      </c>
      <c r="AG1199" s="627"/>
      <c r="AH1199" s="627"/>
      <c r="AI1199" s="627"/>
      <c r="AJ1199" s="627"/>
      <c r="AK1199" s="627"/>
      <c r="AL1199" s="627"/>
    </row>
    <row r="1200" spans="1:38" ht="11.1" customHeight="1" x14ac:dyDescent="0.25">
      <c r="A1200" s="632" t="s">
        <v>4479</v>
      </c>
      <c r="B1200" s="632"/>
      <c r="C1200" s="632"/>
      <c r="J1200" s="632" t="s">
        <v>1677</v>
      </c>
      <c r="K1200" s="632"/>
      <c r="L1200" s="632"/>
      <c r="M1200" s="632"/>
      <c r="N1200" s="632"/>
      <c r="O1200" s="632"/>
      <c r="P1200" s="632"/>
      <c r="Q1200" s="633">
        <v>1427581.34</v>
      </c>
      <c r="R1200" s="633"/>
      <c r="T1200" s="634">
        <v>159618.49</v>
      </c>
      <c r="U1200" s="634"/>
      <c r="V1200" s="634"/>
      <c r="Y1200" s="634">
        <v>0</v>
      </c>
      <c r="Z1200" s="634"/>
      <c r="AA1200" s="634"/>
      <c r="AB1200" s="634"/>
      <c r="AC1200" s="634"/>
      <c r="AD1200" s="634"/>
      <c r="AF1200" s="633">
        <v>1587199.83</v>
      </c>
      <c r="AG1200" s="633"/>
      <c r="AH1200" s="633"/>
      <c r="AI1200" s="633"/>
      <c r="AJ1200" s="633"/>
      <c r="AK1200" s="633"/>
      <c r="AL1200" s="633"/>
    </row>
    <row r="1201" spans="1:38" ht="11.1" customHeight="1" x14ac:dyDescent="0.25">
      <c r="A1201" s="630" t="s">
        <v>4480</v>
      </c>
      <c r="B1201" s="630"/>
      <c r="C1201" s="630"/>
      <c r="K1201" s="630" t="s">
        <v>1677</v>
      </c>
      <c r="L1201" s="630"/>
      <c r="M1201" s="630"/>
      <c r="N1201" s="630"/>
      <c r="O1201" s="630"/>
      <c r="P1201" s="630"/>
      <c r="Q1201" s="627">
        <v>1427581.34</v>
      </c>
      <c r="R1201" s="627"/>
      <c r="T1201" s="631">
        <v>159618.49</v>
      </c>
      <c r="U1201" s="631"/>
      <c r="V1201" s="631"/>
      <c r="Y1201" s="631">
        <v>0</v>
      </c>
      <c r="Z1201" s="631"/>
      <c r="AA1201" s="631"/>
      <c r="AB1201" s="631"/>
      <c r="AC1201" s="631"/>
      <c r="AD1201" s="631"/>
      <c r="AF1201" s="627">
        <v>1587199.83</v>
      </c>
      <c r="AG1201" s="627"/>
      <c r="AH1201" s="627"/>
      <c r="AI1201" s="627"/>
      <c r="AJ1201" s="627"/>
      <c r="AK1201" s="627"/>
      <c r="AL1201" s="627"/>
    </row>
    <row r="1202" spans="1:38" ht="11.1" customHeight="1" x14ac:dyDescent="0.25">
      <c r="A1202" s="630" t="s">
        <v>4481</v>
      </c>
      <c r="B1202" s="630"/>
      <c r="C1202" s="630"/>
      <c r="L1202" s="630" t="s">
        <v>586</v>
      </c>
      <c r="M1202" s="630"/>
      <c r="N1202" s="630"/>
      <c r="O1202" s="630"/>
      <c r="P1202" s="630"/>
      <c r="Q1202" s="627">
        <v>154957.46</v>
      </c>
      <c r="R1202" s="627"/>
      <c r="T1202" s="631">
        <v>17567.990000000002</v>
      </c>
      <c r="U1202" s="631"/>
      <c r="V1202" s="631"/>
      <c r="Y1202" s="631">
        <v>0</v>
      </c>
      <c r="Z1202" s="631"/>
      <c r="AA1202" s="631"/>
      <c r="AB1202" s="631"/>
      <c r="AC1202" s="631"/>
      <c r="AD1202" s="631"/>
      <c r="AF1202" s="627">
        <v>172525.45</v>
      </c>
      <c r="AG1202" s="627"/>
      <c r="AH1202" s="627"/>
      <c r="AI1202" s="627"/>
      <c r="AJ1202" s="627"/>
      <c r="AK1202" s="627"/>
      <c r="AL1202" s="627"/>
    </row>
    <row r="1203" spans="1:38" ht="11.1" customHeight="1" x14ac:dyDescent="0.25">
      <c r="A1203" s="630" t="s">
        <v>4482</v>
      </c>
      <c r="B1203" s="630"/>
      <c r="C1203" s="630"/>
      <c r="M1203" s="630" t="s">
        <v>2249</v>
      </c>
      <c r="N1203" s="630"/>
      <c r="O1203" s="630"/>
      <c r="P1203" s="630"/>
      <c r="Q1203" s="627">
        <v>5796.21</v>
      </c>
      <c r="R1203" s="627"/>
      <c r="T1203" s="631">
        <v>184.15</v>
      </c>
      <c r="U1203" s="631"/>
      <c r="V1203" s="631"/>
      <c r="Y1203" s="631">
        <v>0</v>
      </c>
      <c r="Z1203" s="631"/>
      <c r="AA1203" s="631"/>
      <c r="AB1203" s="631"/>
      <c r="AC1203" s="631"/>
      <c r="AD1203" s="631"/>
      <c r="AF1203" s="627">
        <v>5980.36</v>
      </c>
      <c r="AG1203" s="627"/>
      <c r="AH1203" s="627"/>
      <c r="AI1203" s="627"/>
      <c r="AJ1203" s="627"/>
      <c r="AK1203" s="627"/>
      <c r="AL1203" s="627"/>
    </row>
    <row r="1204" spans="1:38" ht="11.1" customHeight="1" x14ac:dyDescent="0.25">
      <c r="A1204" s="630" t="s">
        <v>4483</v>
      </c>
      <c r="B1204" s="630"/>
      <c r="C1204" s="630"/>
      <c r="M1204" s="630" t="s">
        <v>2496</v>
      </c>
      <c r="N1204" s="630"/>
      <c r="O1204" s="630"/>
      <c r="P1204" s="630"/>
      <c r="Q1204" s="627">
        <v>51257.53</v>
      </c>
      <c r="R1204" s="627"/>
      <c r="T1204" s="631">
        <v>10097.15</v>
      </c>
      <c r="U1204" s="631"/>
      <c r="V1204" s="631"/>
      <c r="Y1204" s="631">
        <v>0</v>
      </c>
      <c r="Z1204" s="631"/>
      <c r="AA1204" s="631"/>
      <c r="AB1204" s="631"/>
      <c r="AC1204" s="631"/>
      <c r="AD1204" s="631"/>
      <c r="AF1204" s="627">
        <v>61354.68</v>
      </c>
      <c r="AG1204" s="627"/>
      <c r="AH1204" s="627"/>
      <c r="AI1204" s="627"/>
      <c r="AJ1204" s="627"/>
      <c r="AK1204" s="627"/>
      <c r="AL1204" s="627"/>
    </row>
    <row r="1205" spans="1:38" ht="11.1" customHeight="1" x14ac:dyDescent="0.25">
      <c r="A1205" s="630" t="s">
        <v>4484</v>
      </c>
      <c r="B1205" s="630"/>
      <c r="C1205" s="630"/>
      <c r="M1205" s="630" t="s">
        <v>1684</v>
      </c>
      <c r="N1205" s="630"/>
      <c r="O1205" s="630"/>
      <c r="P1205" s="630"/>
      <c r="Q1205" s="627">
        <v>1201.6199999999999</v>
      </c>
      <c r="R1205" s="627"/>
      <c r="T1205" s="631">
        <v>111.45</v>
      </c>
      <c r="U1205" s="631"/>
      <c r="V1205" s="631"/>
      <c r="Y1205" s="631">
        <v>0</v>
      </c>
      <c r="Z1205" s="631"/>
      <c r="AA1205" s="631"/>
      <c r="AB1205" s="631"/>
      <c r="AC1205" s="631"/>
      <c r="AD1205" s="631"/>
      <c r="AF1205" s="627">
        <v>1313.07</v>
      </c>
      <c r="AG1205" s="627"/>
      <c r="AH1205" s="627"/>
      <c r="AI1205" s="627"/>
      <c r="AJ1205" s="627"/>
      <c r="AK1205" s="627"/>
      <c r="AL1205" s="627"/>
    </row>
    <row r="1206" spans="1:38" ht="11.1" customHeight="1" x14ac:dyDescent="0.25">
      <c r="A1206" s="630" t="s">
        <v>4485</v>
      </c>
      <c r="B1206" s="630"/>
      <c r="C1206" s="630"/>
      <c r="M1206" s="630" t="s">
        <v>2377</v>
      </c>
      <c r="N1206" s="630"/>
      <c r="O1206" s="630"/>
      <c r="P1206" s="630"/>
      <c r="Q1206" s="627">
        <v>95482.1</v>
      </c>
      <c r="R1206" s="627"/>
      <c r="T1206" s="631">
        <v>6215.24</v>
      </c>
      <c r="U1206" s="631"/>
      <c r="V1206" s="631"/>
      <c r="Y1206" s="631">
        <v>0</v>
      </c>
      <c r="Z1206" s="631"/>
      <c r="AA1206" s="631"/>
      <c r="AB1206" s="631"/>
      <c r="AC1206" s="631"/>
      <c r="AD1206" s="631"/>
      <c r="AF1206" s="627">
        <v>101697.34</v>
      </c>
      <c r="AG1206" s="627"/>
      <c r="AH1206" s="627"/>
      <c r="AI1206" s="627"/>
      <c r="AJ1206" s="627"/>
      <c r="AK1206" s="627"/>
      <c r="AL1206" s="627"/>
    </row>
    <row r="1207" spans="1:38" ht="11.1" customHeight="1" x14ac:dyDescent="0.25">
      <c r="A1207" s="630" t="s">
        <v>4486</v>
      </c>
      <c r="B1207" s="630"/>
      <c r="C1207" s="630"/>
      <c r="M1207" s="630" t="s">
        <v>2532</v>
      </c>
      <c r="N1207" s="630"/>
      <c r="O1207" s="630"/>
      <c r="P1207" s="630"/>
      <c r="Q1207" s="627">
        <v>1220</v>
      </c>
      <c r="R1207" s="627"/>
      <c r="T1207" s="631">
        <v>960</v>
      </c>
      <c r="U1207" s="631"/>
      <c r="V1207" s="631"/>
      <c r="Y1207" s="631">
        <v>0</v>
      </c>
      <c r="Z1207" s="631"/>
      <c r="AA1207" s="631"/>
      <c r="AB1207" s="631"/>
      <c r="AC1207" s="631"/>
      <c r="AD1207" s="631"/>
      <c r="AF1207" s="627">
        <v>2180</v>
      </c>
      <c r="AG1207" s="627"/>
      <c r="AH1207" s="627"/>
      <c r="AI1207" s="627"/>
      <c r="AJ1207" s="627"/>
      <c r="AK1207" s="627"/>
      <c r="AL1207" s="627"/>
    </row>
    <row r="1208" spans="1:38" ht="11.1" customHeight="1" x14ac:dyDescent="0.25">
      <c r="A1208" s="630" t="s">
        <v>4487</v>
      </c>
      <c r="B1208" s="630"/>
      <c r="C1208" s="630"/>
      <c r="L1208" s="630" t="s">
        <v>302</v>
      </c>
      <c r="M1208" s="630"/>
      <c r="N1208" s="630"/>
      <c r="O1208" s="630"/>
      <c r="P1208" s="630"/>
      <c r="Q1208" s="627">
        <v>824289.55</v>
      </c>
      <c r="R1208" s="627"/>
      <c r="T1208" s="631">
        <v>97784.43</v>
      </c>
      <c r="U1208" s="631"/>
      <c r="V1208" s="631"/>
      <c r="Y1208" s="631">
        <v>0</v>
      </c>
      <c r="Z1208" s="631"/>
      <c r="AA1208" s="631"/>
      <c r="AB1208" s="631"/>
      <c r="AC1208" s="631"/>
      <c r="AD1208" s="631"/>
      <c r="AF1208" s="627">
        <v>922073.98</v>
      </c>
      <c r="AG1208" s="627"/>
      <c r="AH1208" s="627"/>
      <c r="AI1208" s="627"/>
      <c r="AJ1208" s="627"/>
      <c r="AK1208" s="627"/>
      <c r="AL1208" s="627"/>
    </row>
    <row r="1209" spans="1:38" ht="11.1" customHeight="1" x14ac:dyDescent="0.25">
      <c r="A1209" s="630" t="s">
        <v>4488</v>
      </c>
      <c r="B1209" s="630"/>
      <c r="C1209" s="630"/>
      <c r="M1209" s="630" t="s">
        <v>1680</v>
      </c>
      <c r="N1209" s="630"/>
      <c r="O1209" s="630"/>
      <c r="P1209" s="630"/>
      <c r="Q1209" s="627">
        <v>824289.55</v>
      </c>
      <c r="R1209" s="627"/>
      <c r="T1209" s="631">
        <v>97784.43</v>
      </c>
      <c r="U1209" s="631"/>
      <c r="V1209" s="631"/>
      <c r="Y1209" s="631">
        <v>0</v>
      </c>
      <c r="Z1209" s="631"/>
      <c r="AA1209" s="631"/>
      <c r="AB1209" s="631"/>
      <c r="AC1209" s="631"/>
      <c r="AD1209" s="631"/>
      <c r="AF1209" s="627">
        <v>922073.98</v>
      </c>
      <c r="AG1209" s="627"/>
      <c r="AH1209" s="627"/>
      <c r="AI1209" s="627"/>
      <c r="AJ1209" s="627"/>
      <c r="AK1209" s="627"/>
      <c r="AL1209" s="627"/>
    </row>
    <row r="1210" spans="1:38" ht="11.1" customHeight="1" x14ac:dyDescent="0.25">
      <c r="A1210" s="630" t="s">
        <v>4489</v>
      </c>
      <c r="B1210" s="630"/>
      <c r="C1210" s="630"/>
      <c r="L1210" s="630" t="s">
        <v>591</v>
      </c>
      <c r="M1210" s="630"/>
      <c r="N1210" s="630"/>
      <c r="O1210" s="630"/>
      <c r="P1210" s="630"/>
      <c r="Q1210" s="627">
        <v>448334.33</v>
      </c>
      <c r="R1210" s="627"/>
      <c r="T1210" s="631">
        <v>44266.07</v>
      </c>
      <c r="U1210" s="631"/>
      <c r="V1210" s="631"/>
      <c r="Y1210" s="631">
        <v>0</v>
      </c>
      <c r="Z1210" s="631"/>
      <c r="AA1210" s="631"/>
      <c r="AB1210" s="631"/>
      <c r="AC1210" s="631"/>
      <c r="AD1210" s="631"/>
      <c r="AF1210" s="627">
        <v>492600.4</v>
      </c>
      <c r="AG1210" s="627"/>
      <c r="AH1210" s="627"/>
      <c r="AI1210" s="627"/>
      <c r="AJ1210" s="627"/>
      <c r="AK1210" s="627"/>
      <c r="AL1210" s="627"/>
    </row>
    <row r="1211" spans="1:38" ht="11.1" customHeight="1" x14ac:dyDescent="0.25">
      <c r="A1211" s="630" t="s">
        <v>4490</v>
      </c>
      <c r="B1211" s="630"/>
      <c r="C1211" s="630"/>
      <c r="M1211" s="630" t="s">
        <v>1680</v>
      </c>
      <c r="N1211" s="630"/>
      <c r="O1211" s="630"/>
      <c r="P1211" s="630"/>
      <c r="Q1211" s="627">
        <v>13857.5</v>
      </c>
      <c r="R1211" s="627"/>
      <c r="T1211" s="631">
        <v>0</v>
      </c>
      <c r="U1211" s="631"/>
      <c r="V1211" s="631"/>
      <c r="Y1211" s="631">
        <v>0</v>
      </c>
      <c r="Z1211" s="631"/>
      <c r="AA1211" s="631"/>
      <c r="AB1211" s="631"/>
      <c r="AC1211" s="631"/>
      <c r="AD1211" s="631"/>
      <c r="AF1211" s="627">
        <v>13857.5</v>
      </c>
      <c r="AG1211" s="627"/>
      <c r="AH1211" s="627"/>
      <c r="AI1211" s="627"/>
      <c r="AJ1211" s="627"/>
      <c r="AK1211" s="627"/>
      <c r="AL1211" s="627"/>
    </row>
    <row r="1212" spans="1:38" ht="11.1" customHeight="1" x14ac:dyDescent="0.25">
      <c r="A1212" s="630" t="s">
        <v>4491</v>
      </c>
      <c r="B1212" s="630"/>
      <c r="C1212" s="630"/>
      <c r="M1212" s="630" t="s">
        <v>2249</v>
      </c>
      <c r="N1212" s="630"/>
      <c r="O1212" s="630"/>
      <c r="P1212" s="630"/>
      <c r="Q1212" s="627">
        <v>152341</v>
      </c>
      <c r="R1212" s="627"/>
      <c r="T1212" s="631">
        <v>16387.79</v>
      </c>
      <c r="U1212" s="631"/>
      <c r="V1212" s="631"/>
      <c r="Y1212" s="631">
        <v>0</v>
      </c>
      <c r="Z1212" s="631"/>
      <c r="AA1212" s="631"/>
      <c r="AB1212" s="631"/>
      <c r="AC1212" s="631"/>
      <c r="AD1212" s="631"/>
      <c r="AF1212" s="627">
        <v>168728.79</v>
      </c>
      <c r="AG1212" s="627"/>
      <c r="AH1212" s="627"/>
      <c r="AI1212" s="627"/>
      <c r="AJ1212" s="627"/>
      <c r="AK1212" s="627"/>
      <c r="AL1212" s="627"/>
    </row>
    <row r="1213" spans="1:38" ht="11.1" customHeight="1" x14ac:dyDescent="0.25">
      <c r="A1213" s="630" t="s">
        <v>4492</v>
      </c>
      <c r="B1213" s="630"/>
      <c r="C1213" s="630"/>
      <c r="M1213" s="630" t="s">
        <v>2497</v>
      </c>
      <c r="N1213" s="630"/>
      <c r="O1213" s="630"/>
      <c r="P1213" s="630"/>
      <c r="Q1213" s="627">
        <v>51377.53</v>
      </c>
      <c r="R1213" s="627"/>
      <c r="T1213" s="631">
        <v>10097.15</v>
      </c>
      <c r="U1213" s="631"/>
      <c r="V1213" s="631"/>
      <c r="Y1213" s="631">
        <v>0</v>
      </c>
      <c r="Z1213" s="631"/>
      <c r="AA1213" s="631"/>
      <c r="AB1213" s="631"/>
      <c r="AC1213" s="631"/>
      <c r="AD1213" s="631"/>
      <c r="AF1213" s="627">
        <v>61474.68</v>
      </c>
      <c r="AG1213" s="627"/>
      <c r="AH1213" s="627"/>
      <c r="AI1213" s="627"/>
      <c r="AJ1213" s="627"/>
      <c r="AK1213" s="627"/>
      <c r="AL1213" s="627"/>
    </row>
    <row r="1214" spans="1:38" ht="11.1" customHeight="1" x14ac:dyDescent="0.25">
      <c r="A1214" s="630" t="s">
        <v>4493</v>
      </c>
      <c r="B1214" s="630"/>
      <c r="C1214" s="630"/>
      <c r="M1214" s="630" t="s">
        <v>1692</v>
      </c>
      <c r="N1214" s="630"/>
      <c r="O1214" s="630"/>
      <c r="P1214" s="630"/>
      <c r="Q1214" s="627">
        <v>25247.41</v>
      </c>
      <c r="R1214" s="627"/>
      <c r="T1214" s="631">
        <v>6018.98</v>
      </c>
      <c r="U1214" s="631"/>
      <c r="V1214" s="631"/>
      <c r="Y1214" s="631">
        <v>0</v>
      </c>
      <c r="Z1214" s="631"/>
      <c r="AA1214" s="631"/>
      <c r="AB1214" s="631"/>
      <c r="AC1214" s="631"/>
      <c r="AD1214" s="631"/>
      <c r="AF1214" s="627">
        <v>31266.39</v>
      </c>
      <c r="AG1214" s="627"/>
      <c r="AH1214" s="627"/>
      <c r="AI1214" s="627"/>
      <c r="AJ1214" s="627"/>
      <c r="AK1214" s="627"/>
      <c r="AL1214" s="627"/>
    </row>
    <row r="1215" spans="1:38" ht="11.1" customHeight="1" x14ac:dyDescent="0.25">
      <c r="A1215" s="630" t="s">
        <v>4494</v>
      </c>
      <c r="B1215" s="630"/>
      <c r="C1215" s="630"/>
      <c r="M1215" s="630" t="s">
        <v>2499</v>
      </c>
      <c r="N1215" s="630"/>
      <c r="O1215" s="630"/>
      <c r="P1215" s="630"/>
      <c r="Q1215" s="627">
        <v>200</v>
      </c>
      <c r="R1215" s="627"/>
      <c r="T1215" s="631">
        <v>0</v>
      </c>
      <c r="U1215" s="631"/>
      <c r="V1215" s="631"/>
      <c r="Y1215" s="631">
        <v>0</v>
      </c>
      <c r="Z1215" s="631"/>
      <c r="AA1215" s="631"/>
      <c r="AB1215" s="631"/>
      <c r="AC1215" s="631"/>
      <c r="AD1215" s="631"/>
      <c r="AF1215" s="627">
        <v>200</v>
      </c>
      <c r="AG1215" s="627"/>
      <c r="AH1215" s="627"/>
      <c r="AI1215" s="627"/>
      <c r="AJ1215" s="627"/>
      <c r="AK1215" s="627"/>
      <c r="AL1215" s="627"/>
    </row>
    <row r="1216" spans="1:38" ht="11.1" customHeight="1" x14ac:dyDescent="0.25">
      <c r="A1216" s="630" t="s">
        <v>4495</v>
      </c>
      <c r="B1216" s="630"/>
      <c r="C1216" s="630"/>
      <c r="M1216" s="630" t="s">
        <v>1684</v>
      </c>
      <c r="N1216" s="630"/>
      <c r="O1216" s="630"/>
      <c r="P1216" s="630"/>
      <c r="Q1216" s="627">
        <v>21527.66</v>
      </c>
      <c r="R1216" s="627"/>
      <c r="T1216" s="631">
        <v>1368.4</v>
      </c>
      <c r="U1216" s="631"/>
      <c r="V1216" s="631"/>
      <c r="Y1216" s="631">
        <v>0</v>
      </c>
      <c r="Z1216" s="631"/>
      <c r="AA1216" s="631"/>
      <c r="AB1216" s="631"/>
      <c r="AC1216" s="631"/>
      <c r="AD1216" s="631"/>
      <c r="AF1216" s="627">
        <v>22896.06</v>
      </c>
      <c r="AG1216" s="627"/>
      <c r="AH1216" s="627"/>
      <c r="AI1216" s="627"/>
      <c r="AJ1216" s="627"/>
      <c r="AK1216" s="627"/>
      <c r="AL1216" s="627"/>
    </row>
    <row r="1217" spans="1:38" ht="11.1" customHeight="1" x14ac:dyDescent="0.25">
      <c r="A1217" s="630" t="s">
        <v>4496</v>
      </c>
      <c r="B1217" s="630"/>
      <c r="C1217" s="630"/>
      <c r="M1217" s="630" t="s">
        <v>2377</v>
      </c>
      <c r="N1217" s="630"/>
      <c r="O1217" s="630"/>
      <c r="P1217" s="630"/>
      <c r="Q1217" s="627">
        <v>162417.23000000001</v>
      </c>
      <c r="R1217" s="627"/>
      <c r="T1217" s="631">
        <v>6413.75</v>
      </c>
      <c r="U1217" s="631"/>
      <c r="V1217" s="631"/>
      <c r="Y1217" s="631">
        <v>0</v>
      </c>
      <c r="Z1217" s="631"/>
      <c r="AA1217" s="631"/>
      <c r="AB1217" s="631"/>
      <c r="AC1217" s="631"/>
      <c r="AD1217" s="631"/>
      <c r="AF1217" s="627">
        <v>168830.98</v>
      </c>
      <c r="AG1217" s="627"/>
      <c r="AH1217" s="627"/>
      <c r="AI1217" s="627"/>
      <c r="AJ1217" s="627"/>
      <c r="AK1217" s="627"/>
      <c r="AL1217" s="627"/>
    </row>
    <row r="1218" spans="1:38" ht="11.1" customHeight="1" x14ac:dyDescent="0.25">
      <c r="A1218" s="630" t="s">
        <v>4497</v>
      </c>
      <c r="B1218" s="630"/>
      <c r="C1218" s="630"/>
      <c r="M1218" s="630" t="s">
        <v>2501</v>
      </c>
      <c r="N1218" s="630"/>
      <c r="O1218" s="630"/>
      <c r="P1218" s="630"/>
      <c r="Q1218" s="627">
        <v>20600</v>
      </c>
      <c r="R1218" s="627"/>
      <c r="T1218" s="631">
        <v>1100</v>
      </c>
      <c r="U1218" s="631"/>
      <c r="V1218" s="631"/>
      <c r="Y1218" s="631">
        <v>0</v>
      </c>
      <c r="Z1218" s="631"/>
      <c r="AA1218" s="631"/>
      <c r="AB1218" s="631"/>
      <c r="AC1218" s="631"/>
      <c r="AD1218" s="631"/>
      <c r="AF1218" s="627">
        <v>21700</v>
      </c>
      <c r="AG1218" s="627"/>
      <c r="AH1218" s="627"/>
      <c r="AI1218" s="627"/>
      <c r="AJ1218" s="627"/>
      <c r="AK1218" s="627"/>
      <c r="AL1218" s="627"/>
    </row>
    <row r="1219" spans="1:38" ht="11.1" customHeight="1" x14ac:dyDescent="0.25">
      <c r="A1219" s="630" t="s">
        <v>4498</v>
      </c>
      <c r="B1219" s="630"/>
      <c r="C1219" s="630"/>
      <c r="M1219" s="630" t="s">
        <v>2221</v>
      </c>
      <c r="N1219" s="630"/>
      <c r="O1219" s="630"/>
      <c r="P1219" s="630"/>
      <c r="Q1219" s="627">
        <v>305</v>
      </c>
      <c r="R1219" s="627"/>
      <c r="T1219" s="631">
        <v>0</v>
      </c>
      <c r="U1219" s="631"/>
      <c r="V1219" s="631"/>
      <c r="Y1219" s="631">
        <v>0</v>
      </c>
      <c r="Z1219" s="631"/>
      <c r="AA1219" s="631"/>
      <c r="AB1219" s="631"/>
      <c r="AC1219" s="631"/>
      <c r="AD1219" s="631"/>
      <c r="AF1219" s="627">
        <v>305</v>
      </c>
      <c r="AG1219" s="627"/>
      <c r="AH1219" s="627"/>
      <c r="AI1219" s="627"/>
      <c r="AJ1219" s="627"/>
      <c r="AK1219" s="627"/>
      <c r="AL1219" s="627"/>
    </row>
    <row r="1220" spans="1:38" ht="11.1" customHeight="1" x14ac:dyDescent="0.25">
      <c r="A1220" s="630" t="s">
        <v>4499</v>
      </c>
      <c r="B1220" s="630"/>
      <c r="C1220" s="630"/>
      <c r="M1220" s="630" t="s">
        <v>2532</v>
      </c>
      <c r="N1220" s="630"/>
      <c r="O1220" s="630"/>
      <c r="P1220" s="630"/>
      <c r="Q1220" s="627">
        <v>461</v>
      </c>
      <c r="R1220" s="627"/>
      <c r="T1220" s="631">
        <v>2880</v>
      </c>
      <c r="U1220" s="631"/>
      <c r="V1220" s="631"/>
      <c r="Y1220" s="631">
        <v>0</v>
      </c>
      <c r="Z1220" s="631"/>
      <c r="AA1220" s="631"/>
      <c r="AB1220" s="631"/>
      <c r="AC1220" s="631"/>
      <c r="AD1220" s="631"/>
      <c r="AF1220" s="627">
        <v>3341</v>
      </c>
      <c r="AG1220" s="627"/>
      <c r="AH1220" s="627"/>
      <c r="AI1220" s="627"/>
      <c r="AJ1220" s="627"/>
      <c r="AK1220" s="627"/>
      <c r="AL1220" s="627"/>
    </row>
    <row r="1221" spans="1:38" ht="11.1" customHeight="1" x14ac:dyDescent="0.25">
      <c r="A1221" s="632" t="s">
        <v>4500</v>
      </c>
      <c r="B1221" s="632"/>
      <c r="C1221" s="632"/>
      <c r="J1221" s="632" t="s">
        <v>1695</v>
      </c>
      <c r="K1221" s="632"/>
      <c r="L1221" s="632"/>
      <c r="M1221" s="632"/>
      <c r="N1221" s="632"/>
      <c r="O1221" s="632"/>
      <c r="P1221" s="632"/>
      <c r="Q1221" s="633">
        <v>10869.87</v>
      </c>
      <c r="R1221" s="633"/>
      <c r="T1221" s="634">
        <v>92.16</v>
      </c>
      <c r="U1221" s="634"/>
      <c r="V1221" s="634"/>
      <c r="Y1221" s="634">
        <v>0</v>
      </c>
      <c r="Z1221" s="634"/>
      <c r="AA1221" s="634"/>
      <c r="AB1221" s="634"/>
      <c r="AC1221" s="634"/>
      <c r="AD1221" s="634"/>
      <c r="AF1221" s="633">
        <v>10962.03</v>
      </c>
      <c r="AG1221" s="633"/>
      <c r="AH1221" s="633"/>
      <c r="AI1221" s="633"/>
      <c r="AJ1221" s="633"/>
      <c r="AK1221" s="633"/>
      <c r="AL1221" s="633"/>
    </row>
    <row r="1222" spans="1:38" ht="11.1" customHeight="1" x14ac:dyDescent="0.25">
      <c r="A1222" s="630" t="s">
        <v>4501</v>
      </c>
      <c r="B1222" s="630"/>
      <c r="C1222" s="630"/>
      <c r="K1222" s="630" t="s">
        <v>1697</v>
      </c>
      <c r="L1222" s="630"/>
      <c r="M1222" s="630"/>
      <c r="N1222" s="630"/>
      <c r="O1222" s="630"/>
      <c r="P1222" s="630"/>
      <c r="Q1222" s="627">
        <v>10869.87</v>
      </c>
      <c r="R1222" s="627"/>
      <c r="T1222" s="631">
        <v>92.16</v>
      </c>
      <c r="U1222" s="631"/>
      <c r="V1222" s="631"/>
      <c r="Y1222" s="631">
        <v>0</v>
      </c>
      <c r="Z1222" s="631"/>
      <c r="AA1222" s="631"/>
      <c r="AB1222" s="631"/>
      <c r="AC1222" s="631"/>
      <c r="AD1222" s="631"/>
      <c r="AF1222" s="627">
        <v>10962.03</v>
      </c>
      <c r="AG1222" s="627"/>
      <c r="AH1222" s="627"/>
      <c r="AI1222" s="627"/>
      <c r="AJ1222" s="627"/>
      <c r="AK1222" s="627"/>
      <c r="AL1222" s="627"/>
    </row>
    <row r="1223" spans="1:38" ht="11.1" customHeight="1" x14ac:dyDescent="0.25">
      <c r="A1223" s="630" t="s">
        <v>4502</v>
      </c>
      <c r="B1223" s="630"/>
      <c r="C1223" s="630"/>
      <c r="L1223" s="630" t="s">
        <v>302</v>
      </c>
      <c r="M1223" s="630"/>
      <c r="N1223" s="630"/>
      <c r="O1223" s="630"/>
      <c r="P1223" s="630"/>
      <c r="Q1223" s="627">
        <v>10869.87</v>
      </c>
      <c r="R1223" s="627"/>
      <c r="T1223" s="631">
        <v>92.16</v>
      </c>
      <c r="U1223" s="631"/>
      <c r="V1223" s="631"/>
      <c r="Y1223" s="631">
        <v>0</v>
      </c>
      <c r="Z1223" s="631"/>
      <c r="AA1223" s="631"/>
      <c r="AB1223" s="631"/>
      <c r="AC1223" s="631"/>
      <c r="AD1223" s="631"/>
      <c r="AF1223" s="627">
        <v>10962.03</v>
      </c>
      <c r="AG1223" s="627"/>
      <c r="AH1223" s="627"/>
      <c r="AI1223" s="627"/>
      <c r="AJ1223" s="627"/>
      <c r="AK1223" s="627"/>
      <c r="AL1223" s="627"/>
    </row>
    <row r="1224" spans="1:38" ht="11.1" customHeight="1" x14ac:dyDescent="0.25">
      <c r="A1224" s="630" t="s">
        <v>4503</v>
      </c>
      <c r="B1224" s="630"/>
      <c r="C1224" s="630"/>
      <c r="M1224" s="630" t="s">
        <v>1700</v>
      </c>
      <c r="N1224" s="630"/>
      <c r="O1224" s="630"/>
      <c r="P1224" s="630"/>
      <c r="Q1224" s="627">
        <v>10869.87</v>
      </c>
      <c r="R1224" s="627"/>
      <c r="T1224" s="631">
        <v>92.16</v>
      </c>
      <c r="U1224" s="631"/>
      <c r="V1224" s="631"/>
      <c r="Y1224" s="631">
        <v>0</v>
      </c>
      <c r="Z1224" s="631"/>
      <c r="AA1224" s="631"/>
      <c r="AB1224" s="631"/>
      <c r="AC1224" s="631"/>
      <c r="AD1224" s="631"/>
      <c r="AF1224" s="627">
        <v>10962.03</v>
      </c>
      <c r="AG1224" s="627"/>
      <c r="AH1224" s="627"/>
      <c r="AI1224" s="627"/>
      <c r="AJ1224" s="627"/>
      <c r="AK1224" s="627"/>
      <c r="AL1224" s="627"/>
    </row>
    <row r="1225" spans="1:38" ht="11.1" customHeight="1" x14ac:dyDescent="0.25">
      <c r="A1225" s="632" t="s">
        <v>4504</v>
      </c>
      <c r="B1225" s="632"/>
      <c r="C1225" s="632"/>
      <c r="J1225" s="632" t="s">
        <v>1702</v>
      </c>
      <c r="K1225" s="632"/>
      <c r="L1225" s="632"/>
      <c r="M1225" s="632"/>
      <c r="N1225" s="632"/>
      <c r="O1225" s="632"/>
      <c r="P1225" s="632"/>
      <c r="Q1225" s="633">
        <v>54180.36</v>
      </c>
      <c r="R1225" s="633"/>
      <c r="T1225" s="634">
        <v>7734.98</v>
      </c>
      <c r="U1225" s="634"/>
      <c r="V1225" s="634"/>
      <c r="Y1225" s="634">
        <v>0.01</v>
      </c>
      <c r="Z1225" s="634"/>
      <c r="AA1225" s="634"/>
      <c r="AB1225" s="634"/>
      <c r="AC1225" s="634"/>
      <c r="AD1225" s="634"/>
      <c r="AF1225" s="633">
        <v>61915.33</v>
      </c>
      <c r="AG1225" s="633"/>
      <c r="AH1225" s="633"/>
      <c r="AI1225" s="633"/>
      <c r="AJ1225" s="633"/>
      <c r="AK1225" s="633"/>
      <c r="AL1225" s="633"/>
    </row>
    <row r="1226" spans="1:38" ht="11.1" customHeight="1" x14ac:dyDescent="0.25">
      <c r="A1226" s="630" t="s">
        <v>4505</v>
      </c>
      <c r="B1226" s="630"/>
      <c r="C1226" s="630"/>
      <c r="K1226" s="630" t="s">
        <v>1702</v>
      </c>
      <c r="L1226" s="630"/>
      <c r="M1226" s="630"/>
      <c r="N1226" s="630"/>
      <c r="O1226" s="630"/>
      <c r="P1226" s="630"/>
      <c r="Q1226" s="627">
        <v>54180.36</v>
      </c>
      <c r="R1226" s="627"/>
      <c r="T1226" s="631">
        <v>7734.98</v>
      </c>
      <c r="U1226" s="631"/>
      <c r="V1226" s="631"/>
      <c r="Y1226" s="631">
        <v>0.01</v>
      </c>
      <c r="Z1226" s="631"/>
      <c r="AA1226" s="631"/>
      <c r="AB1226" s="631"/>
      <c r="AC1226" s="631"/>
      <c r="AD1226" s="631"/>
      <c r="AF1226" s="627">
        <v>61915.33</v>
      </c>
      <c r="AG1226" s="627"/>
      <c r="AH1226" s="627"/>
      <c r="AI1226" s="627"/>
      <c r="AJ1226" s="627"/>
      <c r="AK1226" s="627"/>
      <c r="AL1226" s="627"/>
    </row>
    <row r="1227" spans="1:38" ht="11.1" customHeight="1" x14ac:dyDescent="0.25">
      <c r="A1227" s="630" t="s">
        <v>4506</v>
      </c>
      <c r="B1227" s="630"/>
      <c r="C1227" s="630"/>
      <c r="L1227" s="630" t="s">
        <v>586</v>
      </c>
      <c r="M1227" s="630"/>
      <c r="N1227" s="630"/>
      <c r="O1227" s="630"/>
      <c r="P1227" s="630"/>
      <c r="Q1227" s="627">
        <v>4354.68</v>
      </c>
      <c r="R1227" s="627"/>
      <c r="T1227" s="631">
        <v>870.94</v>
      </c>
      <c r="U1227" s="631"/>
      <c r="V1227" s="631"/>
      <c r="Y1227" s="631">
        <v>0</v>
      </c>
      <c r="Z1227" s="631"/>
      <c r="AA1227" s="631"/>
      <c r="AB1227" s="631"/>
      <c r="AC1227" s="631"/>
      <c r="AD1227" s="631"/>
      <c r="AF1227" s="627">
        <v>5225.62</v>
      </c>
      <c r="AG1227" s="627"/>
      <c r="AH1227" s="627"/>
      <c r="AI1227" s="627"/>
      <c r="AJ1227" s="627"/>
      <c r="AK1227" s="627"/>
      <c r="AL1227" s="627"/>
    </row>
    <row r="1228" spans="1:38" ht="11.1" customHeight="1" x14ac:dyDescent="0.25">
      <c r="A1228" s="630" t="s">
        <v>4507</v>
      </c>
      <c r="B1228" s="630"/>
      <c r="C1228" s="630"/>
      <c r="M1228" s="630" t="s">
        <v>1702</v>
      </c>
      <c r="N1228" s="630"/>
      <c r="O1228" s="630"/>
      <c r="P1228" s="630"/>
      <c r="Q1228" s="627">
        <v>4354.68</v>
      </c>
      <c r="R1228" s="627"/>
      <c r="T1228" s="631">
        <v>870.94</v>
      </c>
      <c r="U1228" s="631"/>
      <c r="V1228" s="631"/>
      <c r="Y1228" s="631">
        <v>0</v>
      </c>
      <c r="Z1228" s="631"/>
      <c r="AA1228" s="631"/>
      <c r="AB1228" s="631"/>
      <c r="AC1228" s="631"/>
      <c r="AD1228" s="631"/>
      <c r="AF1228" s="627">
        <v>5225.62</v>
      </c>
      <c r="AG1228" s="627"/>
      <c r="AH1228" s="627"/>
      <c r="AI1228" s="627"/>
      <c r="AJ1228" s="627"/>
      <c r="AK1228" s="627"/>
      <c r="AL1228" s="627"/>
    </row>
    <row r="1229" spans="1:38" ht="11.1" customHeight="1" x14ac:dyDescent="0.25">
      <c r="A1229" s="630" t="s">
        <v>4508</v>
      </c>
      <c r="B1229" s="630"/>
      <c r="C1229" s="630"/>
      <c r="L1229" s="630" t="s">
        <v>302</v>
      </c>
      <c r="M1229" s="630"/>
      <c r="N1229" s="630"/>
      <c r="O1229" s="630"/>
      <c r="P1229" s="630"/>
      <c r="Q1229" s="627">
        <v>45470.99</v>
      </c>
      <c r="R1229" s="627"/>
      <c r="T1229" s="631">
        <v>5993.11</v>
      </c>
      <c r="U1229" s="631"/>
      <c r="V1229" s="631"/>
      <c r="Y1229" s="631">
        <v>0.01</v>
      </c>
      <c r="Z1229" s="631"/>
      <c r="AA1229" s="631"/>
      <c r="AB1229" s="631"/>
      <c r="AC1229" s="631"/>
      <c r="AD1229" s="631"/>
      <c r="AF1229" s="627">
        <v>51464.09</v>
      </c>
      <c r="AG1229" s="627"/>
      <c r="AH1229" s="627"/>
      <c r="AI1229" s="627"/>
      <c r="AJ1229" s="627"/>
      <c r="AK1229" s="627"/>
      <c r="AL1229" s="627"/>
    </row>
    <row r="1230" spans="1:38" ht="11.1" customHeight="1" x14ac:dyDescent="0.25">
      <c r="A1230" s="630" t="s">
        <v>4509</v>
      </c>
      <c r="B1230" s="630"/>
      <c r="C1230" s="630"/>
      <c r="M1230" s="630" t="s">
        <v>1702</v>
      </c>
      <c r="N1230" s="630"/>
      <c r="O1230" s="630"/>
      <c r="P1230" s="630"/>
      <c r="Q1230" s="627">
        <v>45470.99</v>
      </c>
      <c r="R1230" s="627"/>
      <c r="T1230" s="631">
        <v>5993.11</v>
      </c>
      <c r="U1230" s="631"/>
      <c r="V1230" s="631"/>
      <c r="Y1230" s="631">
        <v>0.01</v>
      </c>
      <c r="Z1230" s="631"/>
      <c r="AA1230" s="631"/>
      <c r="AB1230" s="631"/>
      <c r="AC1230" s="631"/>
      <c r="AD1230" s="631"/>
      <c r="AF1230" s="627">
        <v>51464.09</v>
      </c>
      <c r="AG1230" s="627"/>
      <c r="AH1230" s="627"/>
      <c r="AI1230" s="627"/>
      <c r="AJ1230" s="627"/>
      <c r="AK1230" s="627"/>
      <c r="AL1230" s="627"/>
    </row>
    <row r="1231" spans="1:38" ht="11.1" customHeight="1" x14ac:dyDescent="0.25">
      <c r="A1231" s="630" t="s">
        <v>4510</v>
      </c>
      <c r="B1231" s="630"/>
      <c r="C1231" s="630"/>
      <c r="L1231" s="630" t="s">
        <v>591</v>
      </c>
      <c r="M1231" s="630"/>
      <c r="N1231" s="630"/>
      <c r="O1231" s="630"/>
      <c r="P1231" s="630"/>
      <c r="Q1231" s="627">
        <v>4354.6899999999996</v>
      </c>
      <c r="R1231" s="627"/>
      <c r="T1231" s="631">
        <v>870.93</v>
      </c>
      <c r="U1231" s="631"/>
      <c r="V1231" s="631"/>
      <c r="Y1231" s="631">
        <v>0</v>
      </c>
      <c r="Z1231" s="631"/>
      <c r="AA1231" s="631"/>
      <c r="AB1231" s="631"/>
      <c r="AC1231" s="631"/>
      <c r="AD1231" s="631"/>
      <c r="AF1231" s="627">
        <v>5225.62</v>
      </c>
      <c r="AG1231" s="627"/>
      <c r="AH1231" s="627"/>
      <c r="AI1231" s="627"/>
      <c r="AJ1231" s="627"/>
      <c r="AK1231" s="627"/>
      <c r="AL1231" s="627"/>
    </row>
    <row r="1232" spans="1:38" ht="11.1" customHeight="1" x14ac:dyDescent="0.25">
      <c r="A1232" s="630" t="s">
        <v>4511</v>
      </c>
      <c r="B1232" s="630"/>
      <c r="C1232" s="630"/>
      <c r="M1232" s="630" t="s">
        <v>1702</v>
      </c>
      <c r="N1232" s="630"/>
      <c r="O1232" s="630"/>
      <c r="P1232" s="630"/>
      <c r="Q1232" s="627">
        <v>4354.6899999999996</v>
      </c>
      <c r="R1232" s="627"/>
      <c r="T1232" s="631">
        <v>870.93</v>
      </c>
      <c r="U1232" s="631"/>
      <c r="V1232" s="631"/>
      <c r="Y1232" s="631">
        <v>0</v>
      </c>
      <c r="Z1232" s="631"/>
      <c r="AA1232" s="631"/>
      <c r="AB1232" s="631"/>
      <c r="AC1232" s="631"/>
      <c r="AD1232" s="631"/>
      <c r="AF1232" s="627">
        <v>5225.62</v>
      </c>
      <c r="AG1232" s="627"/>
      <c r="AH1232" s="627"/>
      <c r="AI1232" s="627"/>
      <c r="AJ1232" s="627"/>
      <c r="AK1232" s="627"/>
      <c r="AL1232" s="627"/>
    </row>
    <row r="1233" spans="1:38" ht="11.1" customHeight="1" x14ac:dyDescent="0.25">
      <c r="A1233" s="632" t="s">
        <v>4512</v>
      </c>
      <c r="B1233" s="632"/>
      <c r="C1233" s="632"/>
      <c r="J1233" s="632" t="s">
        <v>1707</v>
      </c>
      <c r="K1233" s="632"/>
      <c r="L1233" s="632"/>
      <c r="M1233" s="632"/>
      <c r="N1233" s="632"/>
      <c r="O1233" s="632"/>
      <c r="P1233" s="632"/>
      <c r="Q1233" s="633">
        <v>25360</v>
      </c>
      <c r="R1233" s="633"/>
      <c r="T1233" s="634">
        <v>0</v>
      </c>
      <c r="U1233" s="634"/>
      <c r="V1233" s="634"/>
      <c r="Y1233" s="634">
        <v>0</v>
      </c>
      <c r="Z1233" s="634"/>
      <c r="AA1233" s="634"/>
      <c r="AB1233" s="634"/>
      <c r="AC1233" s="634"/>
      <c r="AD1233" s="634"/>
      <c r="AF1233" s="633">
        <v>25360</v>
      </c>
      <c r="AG1233" s="633"/>
      <c r="AH1233" s="633"/>
      <c r="AI1233" s="633"/>
      <c r="AJ1233" s="633"/>
      <c r="AK1233" s="633"/>
      <c r="AL1233" s="633"/>
    </row>
    <row r="1234" spans="1:38" ht="11.1" customHeight="1" x14ac:dyDescent="0.25">
      <c r="A1234" s="630" t="s">
        <v>4513</v>
      </c>
      <c r="B1234" s="630"/>
      <c r="C1234" s="630"/>
      <c r="K1234" s="630" t="s">
        <v>1707</v>
      </c>
      <c r="L1234" s="630"/>
      <c r="M1234" s="630"/>
      <c r="N1234" s="630"/>
      <c r="O1234" s="630"/>
      <c r="P1234" s="630"/>
      <c r="Q1234" s="627">
        <v>25360</v>
      </c>
      <c r="R1234" s="627"/>
      <c r="T1234" s="631">
        <v>0</v>
      </c>
      <c r="U1234" s="631"/>
      <c r="V1234" s="631"/>
      <c r="Y1234" s="631">
        <v>0</v>
      </c>
      <c r="Z1234" s="631"/>
      <c r="AA1234" s="631"/>
      <c r="AB1234" s="631"/>
      <c r="AC1234" s="631"/>
      <c r="AD1234" s="631"/>
      <c r="AF1234" s="627">
        <v>25360</v>
      </c>
      <c r="AG1234" s="627"/>
      <c r="AH1234" s="627"/>
      <c r="AI1234" s="627"/>
      <c r="AJ1234" s="627"/>
      <c r="AK1234" s="627"/>
      <c r="AL1234" s="627"/>
    </row>
    <row r="1235" spans="1:38" ht="11.1" customHeight="1" x14ac:dyDescent="0.25">
      <c r="A1235" s="630" t="s">
        <v>4514</v>
      </c>
      <c r="B1235" s="630"/>
      <c r="C1235" s="630"/>
      <c r="L1235" s="630" t="s">
        <v>302</v>
      </c>
      <c r="M1235" s="630"/>
      <c r="N1235" s="630"/>
      <c r="O1235" s="630"/>
      <c r="P1235" s="630"/>
      <c r="Q1235" s="627">
        <v>25360</v>
      </c>
      <c r="R1235" s="627"/>
      <c r="T1235" s="631">
        <v>0</v>
      </c>
      <c r="U1235" s="631"/>
      <c r="V1235" s="631"/>
      <c r="Y1235" s="631">
        <v>0</v>
      </c>
      <c r="Z1235" s="631"/>
      <c r="AA1235" s="631"/>
      <c r="AB1235" s="631"/>
      <c r="AC1235" s="631"/>
      <c r="AD1235" s="631"/>
      <c r="AF1235" s="627">
        <v>25360</v>
      </c>
      <c r="AG1235" s="627"/>
      <c r="AH1235" s="627"/>
      <c r="AI1235" s="627"/>
      <c r="AJ1235" s="627"/>
      <c r="AK1235" s="627"/>
      <c r="AL1235" s="627"/>
    </row>
    <row r="1236" spans="1:38" ht="11.1" customHeight="1" x14ac:dyDescent="0.25">
      <c r="A1236" s="630" t="s">
        <v>4515</v>
      </c>
      <c r="B1236" s="630"/>
      <c r="C1236" s="630"/>
      <c r="M1236" s="630" t="s">
        <v>1711</v>
      </c>
      <c r="N1236" s="630"/>
      <c r="O1236" s="630"/>
      <c r="P1236" s="630"/>
      <c r="Q1236" s="627">
        <v>25360</v>
      </c>
      <c r="R1236" s="627"/>
      <c r="T1236" s="631">
        <v>0</v>
      </c>
      <c r="U1236" s="631"/>
      <c r="V1236" s="631"/>
      <c r="Y1236" s="631">
        <v>0</v>
      </c>
      <c r="Z1236" s="631"/>
      <c r="AA1236" s="631"/>
      <c r="AB1236" s="631"/>
      <c r="AC1236" s="631"/>
      <c r="AD1236" s="631"/>
      <c r="AF1236" s="627">
        <v>25360</v>
      </c>
      <c r="AG1236" s="627"/>
      <c r="AH1236" s="627"/>
      <c r="AI1236" s="627"/>
      <c r="AJ1236" s="627"/>
      <c r="AK1236" s="627"/>
      <c r="AL1236" s="627"/>
    </row>
    <row r="1237" spans="1:38" ht="11.1" customHeight="1" x14ac:dyDescent="0.25">
      <c r="A1237" s="632" t="s">
        <v>4516</v>
      </c>
      <c r="B1237" s="632"/>
      <c r="C1237" s="632"/>
      <c r="J1237" s="632" t="s">
        <v>1910</v>
      </c>
      <c r="K1237" s="632"/>
      <c r="L1237" s="632"/>
      <c r="M1237" s="632"/>
      <c r="N1237" s="632"/>
      <c r="O1237" s="632"/>
      <c r="P1237" s="632"/>
      <c r="Q1237" s="633">
        <v>43762.79</v>
      </c>
      <c r="R1237" s="633"/>
      <c r="T1237" s="634">
        <v>0</v>
      </c>
      <c r="U1237" s="634"/>
      <c r="V1237" s="634"/>
      <c r="Y1237" s="634">
        <v>0</v>
      </c>
      <c r="Z1237" s="634"/>
      <c r="AA1237" s="634"/>
      <c r="AB1237" s="634"/>
      <c r="AC1237" s="634"/>
      <c r="AD1237" s="634"/>
      <c r="AF1237" s="633">
        <v>43762.79</v>
      </c>
      <c r="AG1237" s="633"/>
      <c r="AH1237" s="633"/>
      <c r="AI1237" s="633"/>
      <c r="AJ1237" s="633"/>
      <c r="AK1237" s="633"/>
      <c r="AL1237" s="633"/>
    </row>
    <row r="1238" spans="1:38" ht="11.1" customHeight="1" x14ac:dyDescent="0.25">
      <c r="A1238" s="630" t="s">
        <v>4517</v>
      </c>
      <c r="B1238" s="630"/>
      <c r="C1238" s="630"/>
      <c r="K1238" s="630" t="s">
        <v>2941</v>
      </c>
      <c r="L1238" s="630"/>
      <c r="M1238" s="630"/>
      <c r="N1238" s="630"/>
      <c r="O1238" s="630"/>
      <c r="P1238" s="630"/>
      <c r="Q1238" s="627">
        <v>43762.79</v>
      </c>
      <c r="R1238" s="627"/>
      <c r="T1238" s="631">
        <v>0</v>
      </c>
      <c r="U1238" s="631"/>
      <c r="V1238" s="631"/>
      <c r="Y1238" s="631">
        <v>0</v>
      </c>
      <c r="Z1238" s="631"/>
      <c r="AA1238" s="631"/>
      <c r="AB1238" s="631"/>
      <c r="AC1238" s="631"/>
      <c r="AD1238" s="631"/>
      <c r="AF1238" s="627">
        <v>43762.79</v>
      </c>
      <c r="AG1238" s="627"/>
      <c r="AH1238" s="627"/>
      <c r="AI1238" s="627"/>
      <c r="AJ1238" s="627"/>
      <c r="AK1238" s="627"/>
      <c r="AL1238" s="627"/>
    </row>
    <row r="1239" spans="1:38" ht="11.1" customHeight="1" x14ac:dyDescent="0.25">
      <c r="A1239" s="630" t="s">
        <v>4518</v>
      </c>
      <c r="B1239" s="630"/>
      <c r="C1239" s="630"/>
      <c r="L1239" s="630" t="s">
        <v>302</v>
      </c>
      <c r="M1239" s="630"/>
      <c r="N1239" s="630"/>
      <c r="O1239" s="630"/>
      <c r="P1239" s="630"/>
      <c r="Q1239" s="627">
        <v>43762.79</v>
      </c>
      <c r="R1239" s="627"/>
      <c r="T1239" s="631">
        <v>0</v>
      </c>
      <c r="U1239" s="631"/>
      <c r="V1239" s="631"/>
      <c r="Y1239" s="631">
        <v>0</v>
      </c>
      <c r="Z1239" s="631"/>
      <c r="AA1239" s="631"/>
      <c r="AB1239" s="631"/>
      <c r="AC1239" s="631"/>
      <c r="AD1239" s="631"/>
      <c r="AF1239" s="627">
        <v>43762.79</v>
      </c>
      <c r="AG1239" s="627"/>
      <c r="AH1239" s="627"/>
      <c r="AI1239" s="627"/>
      <c r="AJ1239" s="627"/>
      <c r="AK1239" s="627"/>
      <c r="AL1239" s="627"/>
    </row>
    <row r="1240" spans="1:38" ht="11.1" customHeight="1" x14ac:dyDescent="0.25">
      <c r="A1240" s="630" t="s">
        <v>4519</v>
      </c>
      <c r="B1240" s="630"/>
      <c r="C1240" s="630"/>
      <c r="M1240" s="630" t="s">
        <v>2941</v>
      </c>
      <c r="N1240" s="630"/>
      <c r="O1240" s="630"/>
      <c r="P1240" s="630"/>
      <c r="Q1240" s="627">
        <v>43762.79</v>
      </c>
      <c r="R1240" s="627"/>
      <c r="T1240" s="631">
        <v>0</v>
      </c>
      <c r="U1240" s="631"/>
      <c r="V1240" s="631"/>
      <c r="Y1240" s="631">
        <v>0</v>
      </c>
      <c r="Z1240" s="631"/>
      <c r="AA1240" s="631"/>
      <c r="AB1240" s="631"/>
      <c r="AC1240" s="631"/>
      <c r="AD1240" s="631"/>
      <c r="AF1240" s="627">
        <v>43762.79</v>
      </c>
      <c r="AG1240" s="627"/>
      <c r="AH1240" s="627"/>
      <c r="AI1240" s="627"/>
      <c r="AJ1240" s="627"/>
      <c r="AK1240" s="627"/>
      <c r="AL1240" s="627"/>
    </row>
    <row r="1241" spans="1:38" ht="11.1" customHeight="1" x14ac:dyDescent="0.25">
      <c r="A1241" s="632" t="s">
        <v>4520</v>
      </c>
      <c r="B1241" s="632"/>
      <c r="C1241" s="632"/>
      <c r="J1241" s="632" t="s">
        <v>1713</v>
      </c>
      <c r="K1241" s="632"/>
      <c r="L1241" s="632"/>
      <c r="M1241" s="632"/>
      <c r="N1241" s="632"/>
      <c r="O1241" s="632"/>
      <c r="P1241" s="632"/>
      <c r="Q1241" s="633">
        <v>18.14</v>
      </c>
      <c r="R1241" s="633"/>
      <c r="T1241" s="634">
        <v>0</v>
      </c>
      <c r="U1241" s="634"/>
      <c r="V1241" s="634"/>
      <c r="Y1241" s="634">
        <v>18.14</v>
      </c>
      <c r="Z1241" s="634"/>
      <c r="AA1241" s="634"/>
      <c r="AB1241" s="634"/>
      <c r="AC1241" s="634"/>
      <c r="AD1241" s="634"/>
      <c r="AF1241" s="633">
        <v>0</v>
      </c>
      <c r="AG1241" s="633"/>
      <c r="AH1241" s="633"/>
      <c r="AI1241" s="633"/>
      <c r="AJ1241" s="633"/>
      <c r="AK1241" s="633"/>
      <c r="AL1241" s="633"/>
    </row>
    <row r="1242" spans="1:38" ht="11.1" customHeight="1" x14ac:dyDescent="0.25">
      <c r="A1242" s="630" t="s">
        <v>4521</v>
      </c>
      <c r="B1242" s="630"/>
      <c r="C1242" s="630"/>
      <c r="K1242" s="630" t="s">
        <v>1714</v>
      </c>
      <c r="L1242" s="630"/>
      <c r="M1242" s="630"/>
      <c r="N1242" s="630"/>
      <c r="O1242" s="630"/>
      <c r="P1242" s="630"/>
      <c r="Q1242" s="627">
        <v>18.14</v>
      </c>
      <c r="R1242" s="627"/>
      <c r="T1242" s="631">
        <v>0</v>
      </c>
      <c r="U1242" s="631"/>
      <c r="V1242" s="631"/>
      <c r="Y1242" s="631">
        <v>18.14</v>
      </c>
      <c r="Z1242" s="631"/>
      <c r="AA1242" s="631"/>
      <c r="AB1242" s="631"/>
      <c r="AC1242" s="631"/>
      <c r="AD1242" s="631"/>
      <c r="AF1242" s="627">
        <v>0</v>
      </c>
      <c r="AG1242" s="627"/>
      <c r="AH1242" s="627"/>
      <c r="AI1242" s="627"/>
      <c r="AJ1242" s="627"/>
      <c r="AK1242" s="627"/>
      <c r="AL1242" s="627"/>
    </row>
    <row r="1243" spans="1:38" ht="11.1" customHeight="1" x14ac:dyDescent="0.25">
      <c r="A1243" s="630" t="s">
        <v>4522</v>
      </c>
      <c r="B1243" s="630"/>
      <c r="C1243" s="630"/>
      <c r="L1243" s="630" t="s">
        <v>302</v>
      </c>
      <c r="M1243" s="630"/>
      <c r="N1243" s="630"/>
      <c r="O1243" s="630"/>
      <c r="P1243" s="630"/>
      <c r="Q1243" s="627">
        <v>18.14</v>
      </c>
      <c r="R1243" s="627"/>
      <c r="T1243" s="631">
        <v>0</v>
      </c>
      <c r="U1243" s="631"/>
      <c r="V1243" s="631"/>
      <c r="Y1243" s="631">
        <v>18.14</v>
      </c>
      <c r="Z1243" s="631"/>
      <c r="AA1243" s="631"/>
      <c r="AB1243" s="631"/>
      <c r="AC1243" s="631"/>
      <c r="AD1243" s="631"/>
      <c r="AF1243" s="627">
        <v>0</v>
      </c>
      <c r="AG1243" s="627"/>
      <c r="AH1243" s="627"/>
      <c r="AI1243" s="627"/>
      <c r="AJ1243" s="627"/>
      <c r="AK1243" s="627"/>
      <c r="AL1243" s="627"/>
    </row>
    <row r="1244" spans="1:38" ht="11.1" customHeight="1" x14ac:dyDescent="0.25">
      <c r="A1244" s="630" t="s">
        <v>4523</v>
      </c>
      <c r="B1244" s="630"/>
      <c r="C1244" s="630"/>
      <c r="M1244" s="630" t="s">
        <v>1714</v>
      </c>
      <c r="N1244" s="630"/>
      <c r="O1244" s="630"/>
      <c r="P1244" s="630"/>
      <c r="Q1244" s="627">
        <v>18.14</v>
      </c>
      <c r="R1244" s="627"/>
      <c r="T1244" s="631">
        <v>0</v>
      </c>
      <c r="U1244" s="631"/>
      <c r="V1244" s="631"/>
      <c r="Y1244" s="631">
        <v>18.14</v>
      </c>
      <c r="Z1244" s="631"/>
      <c r="AA1244" s="631"/>
      <c r="AB1244" s="631"/>
      <c r="AC1244" s="631"/>
      <c r="AD1244" s="631"/>
      <c r="AF1244" s="627">
        <v>0</v>
      </c>
      <c r="AG1244" s="627"/>
      <c r="AH1244" s="627"/>
      <c r="AI1244" s="627"/>
      <c r="AJ1244" s="627"/>
      <c r="AK1244" s="627"/>
      <c r="AL1244" s="627"/>
    </row>
    <row r="1245" spans="1:38" ht="11.1" customHeight="1" x14ac:dyDescent="0.25">
      <c r="A1245" s="632" t="s">
        <v>4524</v>
      </c>
      <c r="B1245" s="632"/>
      <c r="C1245" s="632"/>
      <c r="J1245" s="632" t="s">
        <v>1042</v>
      </c>
      <c r="K1245" s="632"/>
      <c r="L1245" s="632"/>
      <c r="M1245" s="632"/>
      <c r="N1245" s="632"/>
      <c r="O1245" s="632"/>
      <c r="P1245" s="632"/>
      <c r="Q1245" s="633">
        <v>24831.119999999999</v>
      </c>
      <c r="R1245" s="633"/>
      <c r="T1245" s="634">
        <v>2754.13</v>
      </c>
      <c r="U1245" s="634"/>
      <c r="V1245" s="634"/>
      <c r="Y1245" s="634">
        <v>0</v>
      </c>
      <c r="Z1245" s="634"/>
      <c r="AA1245" s="634"/>
      <c r="AB1245" s="634"/>
      <c r="AC1245" s="634"/>
      <c r="AD1245" s="634"/>
      <c r="AF1245" s="633">
        <v>27585.25</v>
      </c>
      <c r="AG1245" s="633"/>
      <c r="AH1245" s="633"/>
      <c r="AI1245" s="633"/>
      <c r="AJ1245" s="633"/>
      <c r="AK1245" s="633"/>
      <c r="AL1245" s="633"/>
    </row>
    <row r="1246" spans="1:38" ht="11.1" customHeight="1" x14ac:dyDescent="0.25">
      <c r="A1246" s="630" t="s">
        <v>4525</v>
      </c>
      <c r="B1246" s="630"/>
      <c r="C1246" s="630"/>
      <c r="K1246" s="630" t="s">
        <v>1042</v>
      </c>
      <c r="L1246" s="630"/>
      <c r="M1246" s="630"/>
      <c r="N1246" s="630"/>
      <c r="O1246" s="630"/>
      <c r="P1246" s="630"/>
      <c r="Q1246" s="627">
        <v>24831.119999999999</v>
      </c>
      <c r="R1246" s="627"/>
      <c r="T1246" s="631">
        <v>2754.13</v>
      </c>
      <c r="U1246" s="631"/>
      <c r="V1246" s="631"/>
      <c r="Y1246" s="631">
        <v>0</v>
      </c>
      <c r="Z1246" s="631"/>
      <c r="AA1246" s="631"/>
      <c r="AB1246" s="631"/>
      <c r="AC1246" s="631"/>
      <c r="AD1246" s="631"/>
      <c r="AF1246" s="627">
        <v>27585.25</v>
      </c>
      <c r="AG1246" s="627"/>
      <c r="AH1246" s="627"/>
      <c r="AI1246" s="627"/>
      <c r="AJ1246" s="627"/>
      <c r="AK1246" s="627"/>
      <c r="AL1246" s="627"/>
    </row>
    <row r="1247" spans="1:38" ht="11.1" customHeight="1" x14ac:dyDescent="0.25">
      <c r="A1247" s="630" t="s">
        <v>4526</v>
      </c>
      <c r="B1247" s="630"/>
      <c r="C1247" s="630"/>
      <c r="L1247" s="630" t="s">
        <v>586</v>
      </c>
      <c r="M1247" s="630"/>
      <c r="N1247" s="630"/>
      <c r="O1247" s="630"/>
      <c r="P1247" s="630"/>
      <c r="Q1247" s="627">
        <v>9035.56</v>
      </c>
      <c r="R1247" s="627"/>
      <c r="T1247" s="631">
        <v>0</v>
      </c>
      <c r="U1247" s="631"/>
      <c r="V1247" s="631"/>
      <c r="Y1247" s="631">
        <v>0</v>
      </c>
      <c r="Z1247" s="631"/>
      <c r="AA1247" s="631"/>
      <c r="AB1247" s="631"/>
      <c r="AC1247" s="631"/>
      <c r="AD1247" s="631"/>
      <c r="AF1247" s="627">
        <v>9035.56</v>
      </c>
      <c r="AG1247" s="627"/>
      <c r="AH1247" s="627"/>
      <c r="AI1247" s="627"/>
      <c r="AJ1247" s="627"/>
      <c r="AK1247" s="627"/>
      <c r="AL1247" s="627"/>
    </row>
    <row r="1248" spans="1:38" ht="11.1" customHeight="1" x14ac:dyDescent="0.25">
      <c r="A1248" s="630" t="s">
        <v>4527</v>
      </c>
      <c r="B1248" s="630"/>
      <c r="C1248" s="630"/>
      <c r="M1248" s="630" t="s">
        <v>2505</v>
      </c>
      <c r="N1248" s="630"/>
      <c r="O1248" s="630"/>
      <c r="P1248" s="630"/>
      <c r="Q1248" s="627">
        <v>9035.56</v>
      </c>
      <c r="R1248" s="627"/>
      <c r="T1248" s="631">
        <v>0</v>
      </c>
      <c r="U1248" s="631"/>
      <c r="V1248" s="631"/>
      <c r="Y1248" s="631">
        <v>0</v>
      </c>
      <c r="Z1248" s="631"/>
      <c r="AA1248" s="631"/>
      <c r="AB1248" s="631"/>
      <c r="AC1248" s="631"/>
      <c r="AD1248" s="631"/>
      <c r="AF1248" s="627">
        <v>9035.56</v>
      </c>
      <c r="AG1248" s="627"/>
      <c r="AH1248" s="627"/>
      <c r="AI1248" s="627"/>
      <c r="AJ1248" s="627"/>
      <c r="AK1248" s="627"/>
      <c r="AL1248" s="627"/>
    </row>
    <row r="1249" spans="1:38" ht="11.1" customHeight="1" x14ac:dyDescent="0.25">
      <c r="A1249" s="630" t="s">
        <v>4528</v>
      </c>
      <c r="B1249" s="630"/>
      <c r="C1249" s="630"/>
      <c r="L1249" s="630" t="s">
        <v>302</v>
      </c>
      <c r="M1249" s="630"/>
      <c r="N1249" s="630"/>
      <c r="O1249" s="630"/>
      <c r="P1249" s="630"/>
      <c r="Q1249" s="627">
        <v>15352.11</v>
      </c>
      <c r="R1249" s="627"/>
      <c r="T1249" s="631">
        <v>2754.13</v>
      </c>
      <c r="U1249" s="631"/>
      <c r="V1249" s="631"/>
      <c r="Y1249" s="631">
        <v>0</v>
      </c>
      <c r="Z1249" s="631"/>
      <c r="AA1249" s="631"/>
      <c r="AB1249" s="631"/>
      <c r="AC1249" s="631"/>
      <c r="AD1249" s="631"/>
      <c r="AF1249" s="627">
        <v>18106.240000000002</v>
      </c>
      <c r="AG1249" s="627"/>
      <c r="AH1249" s="627"/>
      <c r="AI1249" s="627"/>
      <c r="AJ1249" s="627"/>
      <c r="AK1249" s="627"/>
      <c r="AL1249" s="627"/>
    </row>
    <row r="1250" spans="1:38" ht="11.1" customHeight="1" x14ac:dyDescent="0.25">
      <c r="A1250" s="630" t="s">
        <v>4529</v>
      </c>
      <c r="B1250" s="630"/>
      <c r="C1250" s="630"/>
      <c r="M1250" s="630" t="s">
        <v>1042</v>
      </c>
      <c r="N1250" s="630"/>
      <c r="O1250" s="630"/>
      <c r="P1250" s="630"/>
      <c r="Q1250" s="627">
        <v>15352.11</v>
      </c>
      <c r="R1250" s="627"/>
      <c r="T1250" s="631">
        <v>2754.13</v>
      </c>
      <c r="U1250" s="631"/>
      <c r="V1250" s="631"/>
      <c r="Y1250" s="631">
        <v>0</v>
      </c>
      <c r="Z1250" s="631"/>
      <c r="AA1250" s="631"/>
      <c r="AB1250" s="631"/>
      <c r="AC1250" s="631"/>
      <c r="AD1250" s="631"/>
      <c r="AF1250" s="627">
        <v>18106.240000000002</v>
      </c>
      <c r="AG1250" s="627"/>
      <c r="AH1250" s="627"/>
      <c r="AI1250" s="627"/>
      <c r="AJ1250" s="627"/>
      <c r="AK1250" s="627"/>
      <c r="AL1250" s="627"/>
    </row>
    <row r="1251" spans="1:38" ht="11.1" customHeight="1" x14ac:dyDescent="0.25">
      <c r="A1251" s="630" t="s">
        <v>4530</v>
      </c>
      <c r="B1251" s="630"/>
      <c r="C1251" s="630"/>
      <c r="L1251" s="630" t="s">
        <v>591</v>
      </c>
      <c r="M1251" s="630"/>
      <c r="N1251" s="630"/>
      <c r="O1251" s="630"/>
      <c r="P1251" s="630"/>
      <c r="Q1251" s="627">
        <v>443.45</v>
      </c>
      <c r="R1251" s="627"/>
      <c r="T1251" s="631">
        <v>0</v>
      </c>
      <c r="U1251" s="631"/>
      <c r="V1251" s="631"/>
      <c r="Y1251" s="631">
        <v>0</v>
      </c>
      <c r="Z1251" s="631"/>
      <c r="AA1251" s="631"/>
      <c r="AB1251" s="631"/>
      <c r="AC1251" s="631"/>
      <c r="AD1251" s="631"/>
      <c r="AF1251" s="627">
        <v>443.45</v>
      </c>
      <c r="AG1251" s="627"/>
      <c r="AH1251" s="627"/>
      <c r="AI1251" s="627"/>
      <c r="AJ1251" s="627"/>
      <c r="AK1251" s="627"/>
      <c r="AL1251" s="627"/>
    </row>
    <row r="1252" spans="1:38" ht="11.1" customHeight="1" x14ac:dyDescent="0.25">
      <c r="A1252" s="630" t="s">
        <v>4531</v>
      </c>
      <c r="B1252" s="630"/>
      <c r="C1252" s="630"/>
      <c r="M1252" s="630" t="s">
        <v>2505</v>
      </c>
      <c r="N1252" s="630"/>
      <c r="O1252" s="630"/>
      <c r="P1252" s="630"/>
      <c r="Q1252" s="627">
        <v>443.45</v>
      </c>
      <c r="R1252" s="627"/>
      <c r="T1252" s="631">
        <v>0</v>
      </c>
      <c r="U1252" s="631"/>
      <c r="V1252" s="631"/>
      <c r="Y1252" s="631">
        <v>0</v>
      </c>
      <c r="Z1252" s="631"/>
      <c r="AA1252" s="631"/>
      <c r="AB1252" s="631"/>
      <c r="AC1252" s="631"/>
      <c r="AD1252" s="631"/>
      <c r="AF1252" s="627">
        <v>443.45</v>
      </c>
      <c r="AG1252" s="627"/>
      <c r="AH1252" s="627"/>
      <c r="AI1252" s="627"/>
      <c r="AJ1252" s="627"/>
      <c r="AK1252" s="627"/>
      <c r="AL1252" s="627"/>
    </row>
    <row r="1253" spans="1:38" ht="11.1" customHeight="1" x14ac:dyDescent="0.25">
      <c r="A1253" s="632" t="s">
        <v>4532</v>
      </c>
      <c r="B1253" s="632"/>
      <c r="C1253" s="632"/>
      <c r="J1253" s="632" t="s">
        <v>1721</v>
      </c>
      <c r="K1253" s="632"/>
      <c r="L1253" s="632"/>
      <c r="M1253" s="632"/>
      <c r="N1253" s="632"/>
      <c r="O1253" s="632"/>
      <c r="P1253" s="632"/>
      <c r="Q1253" s="633">
        <v>3262398.37</v>
      </c>
      <c r="R1253" s="633"/>
      <c r="T1253" s="634">
        <v>328446</v>
      </c>
      <c r="U1253" s="634"/>
      <c r="V1253" s="634"/>
      <c r="Y1253" s="634">
        <v>21799.7</v>
      </c>
      <c r="Z1253" s="634"/>
      <c r="AA1253" s="634"/>
      <c r="AB1253" s="634"/>
      <c r="AC1253" s="634"/>
      <c r="AD1253" s="634"/>
      <c r="AF1253" s="633">
        <v>3569044.67</v>
      </c>
      <c r="AG1253" s="633"/>
      <c r="AH1253" s="633"/>
      <c r="AI1253" s="633"/>
      <c r="AJ1253" s="633"/>
      <c r="AK1253" s="633"/>
      <c r="AL1253" s="633"/>
    </row>
    <row r="1254" spans="1:38" ht="11.1" customHeight="1" x14ac:dyDescent="0.25">
      <c r="A1254" s="630" t="s">
        <v>4533</v>
      </c>
      <c r="B1254" s="630"/>
      <c r="C1254" s="630"/>
      <c r="K1254" s="630" t="s">
        <v>1721</v>
      </c>
      <c r="L1254" s="630"/>
      <c r="M1254" s="630"/>
      <c r="N1254" s="630"/>
      <c r="O1254" s="630"/>
      <c r="P1254" s="630"/>
      <c r="Q1254" s="627">
        <v>3569983.37</v>
      </c>
      <c r="R1254" s="627"/>
      <c r="T1254" s="631">
        <v>328446</v>
      </c>
      <c r="U1254" s="631"/>
      <c r="V1254" s="631"/>
      <c r="Y1254" s="631">
        <v>0</v>
      </c>
      <c r="Z1254" s="631"/>
      <c r="AA1254" s="631"/>
      <c r="AB1254" s="631"/>
      <c r="AC1254" s="631"/>
      <c r="AD1254" s="631"/>
      <c r="AF1254" s="627">
        <v>3898429.37</v>
      </c>
      <c r="AG1254" s="627"/>
      <c r="AH1254" s="627"/>
      <c r="AI1254" s="627"/>
      <c r="AJ1254" s="627"/>
      <c r="AK1254" s="627"/>
      <c r="AL1254" s="627"/>
    </row>
    <row r="1255" spans="1:38" ht="11.1" customHeight="1" x14ac:dyDescent="0.25">
      <c r="A1255" s="630" t="s">
        <v>4534</v>
      </c>
      <c r="B1255" s="630"/>
      <c r="C1255" s="630"/>
      <c r="L1255" s="630" t="s">
        <v>586</v>
      </c>
      <c r="M1255" s="630"/>
      <c r="N1255" s="630"/>
      <c r="O1255" s="630"/>
      <c r="P1255" s="630"/>
      <c r="Q1255" s="627">
        <v>898483.8</v>
      </c>
      <c r="R1255" s="627"/>
      <c r="T1255" s="631">
        <v>84140.84</v>
      </c>
      <c r="U1255" s="631"/>
      <c r="V1255" s="631"/>
      <c r="Y1255" s="631">
        <v>0</v>
      </c>
      <c r="Z1255" s="631"/>
      <c r="AA1255" s="631"/>
      <c r="AB1255" s="631"/>
      <c r="AC1255" s="631"/>
      <c r="AD1255" s="631"/>
      <c r="AF1255" s="627">
        <v>982624.64</v>
      </c>
      <c r="AG1255" s="627"/>
      <c r="AH1255" s="627"/>
      <c r="AI1255" s="627"/>
      <c r="AJ1255" s="627"/>
      <c r="AK1255" s="627"/>
      <c r="AL1255" s="627"/>
    </row>
    <row r="1256" spans="1:38" ht="11.1" customHeight="1" x14ac:dyDescent="0.25">
      <c r="A1256" s="630" t="s">
        <v>4535</v>
      </c>
      <c r="B1256" s="630"/>
      <c r="C1256" s="630"/>
      <c r="M1256" s="630" t="s">
        <v>1721</v>
      </c>
      <c r="N1256" s="630"/>
      <c r="O1256" s="630"/>
      <c r="P1256" s="630"/>
      <c r="Q1256" s="627">
        <v>898483.8</v>
      </c>
      <c r="R1256" s="627"/>
      <c r="T1256" s="631">
        <v>84140.84</v>
      </c>
      <c r="U1256" s="631"/>
      <c r="V1256" s="631"/>
      <c r="Y1256" s="631">
        <v>0</v>
      </c>
      <c r="Z1256" s="631"/>
      <c r="AA1256" s="631"/>
      <c r="AB1256" s="631"/>
      <c r="AC1256" s="631"/>
      <c r="AD1256" s="631"/>
      <c r="AF1256" s="627">
        <v>982624.64</v>
      </c>
      <c r="AG1256" s="627"/>
      <c r="AH1256" s="627"/>
      <c r="AI1256" s="627"/>
      <c r="AJ1256" s="627"/>
      <c r="AK1256" s="627"/>
      <c r="AL1256" s="627"/>
    </row>
    <row r="1257" spans="1:38" ht="11.1" customHeight="1" x14ac:dyDescent="0.25">
      <c r="A1257" s="630" t="s">
        <v>4536</v>
      </c>
      <c r="B1257" s="630"/>
      <c r="C1257" s="630"/>
      <c r="L1257" s="630" t="s">
        <v>302</v>
      </c>
      <c r="M1257" s="630"/>
      <c r="N1257" s="630"/>
      <c r="O1257" s="630"/>
      <c r="P1257" s="630"/>
      <c r="Q1257" s="627">
        <v>2626704.06</v>
      </c>
      <c r="R1257" s="627"/>
      <c r="T1257" s="631">
        <v>238776.62</v>
      </c>
      <c r="U1257" s="631"/>
      <c r="V1257" s="631"/>
      <c r="Y1257" s="631">
        <v>0</v>
      </c>
      <c r="Z1257" s="631"/>
      <c r="AA1257" s="631"/>
      <c r="AB1257" s="631"/>
      <c r="AC1257" s="631"/>
      <c r="AD1257" s="631"/>
      <c r="AF1257" s="627">
        <v>2865480.68</v>
      </c>
      <c r="AG1257" s="627"/>
      <c r="AH1257" s="627"/>
      <c r="AI1257" s="627"/>
      <c r="AJ1257" s="627"/>
      <c r="AK1257" s="627"/>
      <c r="AL1257" s="627"/>
    </row>
    <row r="1258" spans="1:38" ht="11.1" customHeight="1" x14ac:dyDescent="0.25">
      <c r="A1258" s="630" t="s">
        <v>4537</v>
      </c>
      <c r="B1258" s="630"/>
      <c r="C1258" s="630"/>
      <c r="M1258" s="630" t="s">
        <v>1721</v>
      </c>
      <c r="N1258" s="630"/>
      <c r="O1258" s="630"/>
      <c r="P1258" s="630"/>
      <c r="Q1258" s="627">
        <v>2626704.06</v>
      </c>
      <c r="R1258" s="627"/>
      <c r="T1258" s="631">
        <v>238776.62</v>
      </c>
      <c r="U1258" s="631"/>
      <c r="V1258" s="631"/>
      <c r="Y1258" s="631">
        <v>0</v>
      </c>
      <c r="Z1258" s="631"/>
      <c r="AA1258" s="631"/>
      <c r="AB1258" s="631"/>
      <c r="AC1258" s="631"/>
      <c r="AD1258" s="631"/>
      <c r="AF1258" s="627">
        <v>2865480.68</v>
      </c>
      <c r="AG1258" s="627"/>
      <c r="AH1258" s="627"/>
      <c r="AI1258" s="627"/>
      <c r="AJ1258" s="627"/>
      <c r="AK1258" s="627"/>
      <c r="AL1258" s="627"/>
    </row>
    <row r="1259" spans="1:38" ht="11.1" customHeight="1" x14ac:dyDescent="0.25">
      <c r="A1259" s="630" t="s">
        <v>4538</v>
      </c>
      <c r="B1259" s="630"/>
      <c r="C1259" s="630"/>
      <c r="L1259" s="630" t="s">
        <v>591</v>
      </c>
      <c r="M1259" s="630"/>
      <c r="N1259" s="630"/>
      <c r="O1259" s="630"/>
      <c r="P1259" s="630"/>
      <c r="Q1259" s="627">
        <v>44795.51</v>
      </c>
      <c r="R1259" s="627"/>
      <c r="T1259" s="631">
        <v>5528.54</v>
      </c>
      <c r="U1259" s="631"/>
      <c r="V1259" s="631"/>
      <c r="Y1259" s="631">
        <v>0</v>
      </c>
      <c r="Z1259" s="631"/>
      <c r="AA1259" s="631"/>
      <c r="AB1259" s="631"/>
      <c r="AC1259" s="631"/>
      <c r="AD1259" s="631"/>
      <c r="AF1259" s="627">
        <v>50324.05</v>
      </c>
      <c r="AG1259" s="627"/>
      <c r="AH1259" s="627"/>
      <c r="AI1259" s="627"/>
      <c r="AJ1259" s="627"/>
      <c r="AK1259" s="627"/>
      <c r="AL1259" s="627"/>
    </row>
    <row r="1260" spans="1:38" ht="11.1" customHeight="1" x14ac:dyDescent="0.25">
      <c r="A1260" s="630" t="s">
        <v>4539</v>
      </c>
      <c r="B1260" s="630"/>
      <c r="C1260" s="630"/>
      <c r="M1260" s="630" t="s">
        <v>1729</v>
      </c>
      <c r="N1260" s="630"/>
      <c r="O1260" s="630"/>
      <c r="P1260" s="630"/>
      <c r="Q1260" s="627">
        <v>44795.51</v>
      </c>
      <c r="R1260" s="627"/>
      <c r="T1260" s="631">
        <v>5528.54</v>
      </c>
      <c r="U1260" s="631"/>
      <c r="V1260" s="631"/>
      <c r="Y1260" s="631">
        <v>0</v>
      </c>
      <c r="Z1260" s="631"/>
      <c r="AA1260" s="631"/>
      <c r="AB1260" s="631"/>
      <c r="AC1260" s="631"/>
      <c r="AD1260" s="631"/>
      <c r="AF1260" s="627">
        <v>50324.05</v>
      </c>
      <c r="AG1260" s="627"/>
      <c r="AH1260" s="627"/>
      <c r="AI1260" s="627"/>
      <c r="AJ1260" s="627"/>
      <c r="AK1260" s="627"/>
      <c r="AL1260" s="627"/>
    </row>
    <row r="1261" spans="1:38" ht="11.1" customHeight="1" x14ac:dyDescent="0.25">
      <c r="A1261" s="630" t="s">
        <v>4540</v>
      </c>
      <c r="B1261" s="630"/>
      <c r="C1261" s="630"/>
      <c r="K1261" s="630" t="s">
        <v>2921</v>
      </c>
      <c r="L1261" s="630"/>
      <c r="M1261" s="630"/>
      <c r="N1261" s="630"/>
      <c r="O1261" s="630"/>
      <c r="P1261" s="630"/>
      <c r="Q1261" s="627">
        <v>-307585</v>
      </c>
      <c r="R1261" s="627"/>
      <c r="T1261" s="631">
        <v>0</v>
      </c>
      <c r="U1261" s="631"/>
      <c r="V1261" s="631"/>
      <c r="Y1261" s="631">
        <v>21799.7</v>
      </c>
      <c r="Z1261" s="631"/>
      <c r="AA1261" s="631"/>
      <c r="AB1261" s="631"/>
      <c r="AC1261" s="631"/>
      <c r="AD1261" s="631"/>
      <c r="AF1261" s="627">
        <v>-329384.7</v>
      </c>
      <c r="AG1261" s="627"/>
      <c r="AH1261" s="627"/>
      <c r="AI1261" s="627"/>
      <c r="AJ1261" s="627"/>
      <c r="AK1261" s="627"/>
      <c r="AL1261" s="627"/>
    </row>
    <row r="1262" spans="1:38" ht="11.1" customHeight="1" x14ac:dyDescent="0.25">
      <c r="A1262" s="630" t="s">
        <v>4541</v>
      </c>
      <c r="B1262" s="630"/>
      <c r="C1262" s="630"/>
      <c r="L1262" s="630" t="s">
        <v>586</v>
      </c>
      <c r="M1262" s="630"/>
      <c r="N1262" s="630"/>
      <c r="O1262" s="630"/>
      <c r="P1262" s="630"/>
      <c r="Q1262" s="627">
        <v>-77689.91</v>
      </c>
      <c r="R1262" s="627"/>
      <c r="T1262" s="631">
        <v>0</v>
      </c>
      <c r="U1262" s="631"/>
      <c r="V1262" s="631"/>
      <c r="Y1262" s="631">
        <v>5584.61</v>
      </c>
      <c r="Z1262" s="631"/>
      <c r="AA1262" s="631"/>
      <c r="AB1262" s="631"/>
      <c r="AC1262" s="631"/>
      <c r="AD1262" s="631"/>
      <c r="AF1262" s="627">
        <v>-83274.52</v>
      </c>
      <c r="AG1262" s="627"/>
      <c r="AH1262" s="627"/>
      <c r="AI1262" s="627"/>
      <c r="AJ1262" s="627"/>
      <c r="AK1262" s="627"/>
      <c r="AL1262" s="627"/>
    </row>
    <row r="1263" spans="1:38" ht="11.1" customHeight="1" x14ac:dyDescent="0.25">
      <c r="A1263" s="630" t="s">
        <v>4542</v>
      </c>
      <c r="B1263" s="630"/>
      <c r="C1263" s="630"/>
      <c r="M1263" s="630" t="s">
        <v>2284</v>
      </c>
      <c r="N1263" s="630"/>
      <c r="O1263" s="630"/>
      <c r="P1263" s="630"/>
      <c r="Q1263" s="627">
        <v>-77689.91</v>
      </c>
      <c r="R1263" s="627"/>
      <c r="T1263" s="631">
        <v>0</v>
      </c>
      <c r="U1263" s="631"/>
      <c r="V1263" s="631"/>
      <c r="Y1263" s="631">
        <v>5584.61</v>
      </c>
      <c r="Z1263" s="631"/>
      <c r="AA1263" s="631"/>
      <c r="AB1263" s="631"/>
      <c r="AC1263" s="631"/>
      <c r="AD1263" s="631"/>
      <c r="AF1263" s="627">
        <v>-83274.52</v>
      </c>
      <c r="AG1263" s="627"/>
      <c r="AH1263" s="627"/>
      <c r="AI1263" s="627"/>
      <c r="AJ1263" s="627"/>
      <c r="AK1263" s="627"/>
      <c r="AL1263" s="627"/>
    </row>
    <row r="1264" spans="1:38" ht="11.1" customHeight="1" x14ac:dyDescent="0.25">
      <c r="A1264" s="630" t="s">
        <v>4543</v>
      </c>
      <c r="B1264" s="630"/>
      <c r="C1264" s="630"/>
      <c r="L1264" s="630" t="s">
        <v>302</v>
      </c>
      <c r="M1264" s="630"/>
      <c r="N1264" s="630"/>
      <c r="O1264" s="630"/>
      <c r="P1264" s="630"/>
      <c r="Q1264" s="627">
        <v>-227024.59</v>
      </c>
      <c r="R1264" s="627"/>
      <c r="T1264" s="631">
        <v>0</v>
      </c>
      <c r="U1264" s="631"/>
      <c r="V1264" s="631"/>
      <c r="Y1264" s="631">
        <v>15848.15</v>
      </c>
      <c r="Z1264" s="631"/>
      <c r="AA1264" s="631"/>
      <c r="AB1264" s="631"/>
      <c r="AC1264" s="631"/>
      <c r="AD1264" s="631"/>
      <c r="AF1264" s="627">
        <v>-242872.74</v>
      </c>
      <c r="AG1264" s="627"/>
      <c r="AH1264" s="627"/>
      <c r="AI1264" s="627"/>
      <c r="AJ1264" s="627"/>
      <c r="AK1264" s="627"/>
      <c r="AL1264" s="627"/>
    </row>
    <row r="1265" spans="1:38" ht="11.1" customHeight="1" x14ac:dyDescent="0.25">
      <c r="A1265" s="630" t="s">
        <v>4544</v>
      </c>
      <c r="B1265" s="630"/>
      <c r="C1265" s="630"/>
      <c r="M1265" s="630" t="s">
        <v>2284</v>
      </c>
      <c r="N1265" s="630"/>
      <c r="O1265" s="630"/>
      <c r="P1265" s="630"/>
      <c r="Q1265" s="627">
        <v>-227024.59</v>
      </c>
      <c r="R1265" s="627"/>
      <c r="T1265" s="631">
        <v>0</v>
      </c>
      <c r="U1265" s="631"/>
      <c r="V1265" s="631"/>
      <c r="Y1265" s="631">
        <v>15848.15</v>
      </c>
      <c r="Z1265" s="631"/>
      <c r="AA1265" s="631"/>
      <c r="AB1265" s="631"/>
      <c r="AC1265" s="631"/>
      <c r="AD1265" s="631"/>
      <c r="AF1265" s="627">
        <v>-242872.74</v>
      </c>
      <c r="AG1265" s="627"/>
      <c r="AH1265" s="627"/>
      <c r="AI1265" s="627"/>
      <c r="AJ1265" s="627"/>
      <c r="AK1265" s="627"/>
      <c r="AL1265" s="627"/>
    </row>
    <row r="1266" spans="1:38" ht="11.1" customHeight="1" x14ac:dyDescent="0.25">
      <c r="A1266" s="630" t="s">
        <v>4545</v>
      </c>
      <c r="B1266" s="630"/>
      <c r="C1266" s="630"/>
      <c r="L1266" s="630" t="s">
        <v>591</v>
      </c>
      <c r="M1266" s="630"/>
      <c r="N1266" s="630"/>
      <c r="O1266" s="630"/>
      <c r="P1266" s="630"/>
      <c r="Q1266" s="627">
        <v>-2870.5</v>
      </c>
      <c r="R1266" s="627"/>
      <c r="T1266" s="631">
        <v>0</v>
      </c>
      <c r="U1266" s="631"/>
      <c r="V1266" s="631"/>
      <c r="Y1266" s="631">
        <v>366.94</v>
      </c>
      <c r="Z1266" s="631"/>
      <c r="AA1266" s="631"/>
      <c r="AB1266" s="631"/>
      <c r="AC1266" s="631"/>
      <c r="AD1266" s="631"/>
      <c r="AF1266" s="627">
        <v>-3237.44</v>
      </c>
      <c r="AG1266" s="627"/>
      <c r="AH1266" s="627"/>
      <c r="AI1266" s="627"/>
      <c r="AJ1266" s="627"/>
      <c r="AK1266" s="627"/>
      <c r="AL1266" s="627"/>
    </row>
    <row r="1267" spans="1:38" ht="11.1" customHeight="1" x14ac:dyDescent="0.25">
      <c r="A1267" s="630" t="s">
        <v>4546</v>
      </c>
      <c r="B1267" s="630"/>
      <c r="C1267" s="630"/>
      <c r="M1267" s="630" t="s">
        <v>2284</v>
      </c>
      <c r="N1267" s="630"/>
      <c r="O1267" s="630"/>
      <c r="P1267" s="630"/>
      <c r="Q1267" s="627">
        <v>-2870.5</v>
      </c>
      <c r="R1267" s="627"/>
      <c r="T1267" s="631">
        <v>0</v>
      </c>
      <c r="U1267" s="631"/>
      <c r="V1267" s="631"/>
      <c r="Y1267" s="631">
        <v>366.94</v>
      </c>
      <c r="Z1267" s="631"/>
      <c r="AA1267" s="631"/>
      <c r="AB1267" s="631"/>
      <c r="AC1267" s="631"/>
      <c r="AD1267" s="631"/>
      <c r="AF1267" s="627">
        <v>-3237.44</v>
      </c>
      <c r="AG1267" s="627"/>
      <c r="AH1267" s="627"/>
      <c r="AI1267" s="627"/>
      <c r="AJ1267" s="627"/>
      <c r="AK1267" s="627"/>
      <c r="AL1267" s="627"/>
    </row>
    <row r="1268" spans="1:38" ht="11.1" customHeight="1" x14ac:dyDescent="0.25">
      <c r="A1268" s="632" t="s">
        <v>4547</v>
      </c>
      <c r="B1268" s="632"/>
      <c r="C1268" s="632"/>
      <c r="J1268" s="632" t="s">
        <v>1731</v>
      </c>
      <c r="K1268" s="632"/>
      <c r="L1268" s="632"/>
      <c r="M1268" s="632"/>
      <c r="N1268" s="632"/>
      <c r="O1268" s="632"/>
      <c r="P1268" s="632"/>
      <c r="Q1268" s="633">
        <v>3117039.79</v>
      </c>
      <c r="R1268" s="633"/>
      <c r="T1268" s="634">
        <v>68.400000000000006</v>
      </c>
      <c r="U1268" s="634"/>
      <c r="V1268" s="634"/>
      <c r="Y1268" s="634">
        <v>1896503.87</v>
      </c>
      <c r="Z1268" s="634"/>
      <c r="AA1268" s="634"/>
      <c r="AB1268" s="634"/>
      <c r="AC1268" s="634"/>
      <c r="AD1268" s="634"/>
      <c r="AF1268" s="633">
        <v>1220604.32</v>
      </c>
      <c r="AG1268" s="633"/>
      <c r="AH1268" s="633"/>
      <c r="AI1268" s="633"/>
      <c r="AJ1268" s="633"/>
      <c r="AK1268" s="633"/>
      <c r="AL1268" s="633"/>
    </row>
    <row r="1269" spans="1:38" ht="11.1" customHeight="1" x14ac:dyDescent="0.25">
      <c r="A1269" s="630" t="s">
        <v>4548</v>
      </c>
      <c r="B1269" s="630"/>
      <c r="C1269" s="630"/>
      <c r="K1269" s="630" t="s">
        <v>1731</v>
      </c>
      <c r="L1269" s="630"/>
      <c r="M1269" s="630"/>
      <c r="N1269" s="630"/>
      <c r="O1269" s="630"/>
      <c r="P1269" s="630"/>
      <c r="Q1269" s="627">
        <v>3117039.79</v>
      </c>
      <c r="R1269" s="627"/>
      <c r="T1269" s="631">
        <v>68.400000000000006</v>
      </c>
      <c r="U1269" s="631"/>
      <c r="V1269" s="631"/>
      <c r="Y1269" s="631">
        <v>1896503.87</v>
      </c>
      <c r="Z1269" s="631"/>
      <c r="AA1269" s="631"/>
      <c r="AB1269" s="631"/>
      <c r="AC1269" s="631"/>
      <c r="AD1269" s="631"/>
      <c r="AF1269" s="627">
        <v>1220604.32</v>
      </c>
      <c r="AG1269" s="627"/>
      <c r="AH1269" s="627"/>
      <c r="AI1269" s="627"/>
      <c r="AJ1269" s="627"/>
      <c r="AK1269" s="627"/>
      <c r="AL1269" s="627"/>
    </row>
    <row r="1270" spans="1:38" ht="11.1" customHeight="1" x14ac:dyDescent="0.25">
      <c r="A1270" s="630" t="s">
        <v>4549</v>
      </c>
      <c r="B1270" s="630"/>
      <c r="C1270" s="630"/>
      <c r="L1270" s="630" t="s">
        <v>302</v>
      </c>
      <c r="M1270" s="630"/>
      <c r="N1270" s="630"/>
      <c r="O1270" s="630"/>
      <c r="P1270" s="630"/>
      <c r="Q1270" s="627">
        <v>3117039.79</v>
      </c>
      <c r="R1270" s="627"/>
      <c r="T1270" s="631">
        <v>68.400000000000006</v>
      </c>
      <c r="U1270" s="631"/>
      <c r="V1270" s="631"/>
      <c r="Y1270" s="631">
        <v>1896503.87</v>
      </c>
      <c r="Z1270" s="631"/>
      <c r="AA1270" s="631"/>
      <c r="AB1270" s="631"/>
      <c r="AC1270" s="631"/>
      <c r="AD1270" s="631"/>
      <c r="AF1270" s="627">
        <v>1220604.32</v>
      </c>
      <c r="AG1270" s="627"/>
      <c r="AH1270" s="627"/>
      <c r="AI1270" s="627"/>
      <c r="AJ1270" s="627"/>
      <c r="AK1270" s="627"/>
      <c r="AL1270" s="627"/>
    </row>
    <row r="1271" spans="1:38" ht="11.1" customHeight="1" x14ac:dyDescent="0.25">
      <c r="A1271" s="630" t="s">
        <v>4550</v>
      </c>
      <c r="B1271" s="630"/>
      <c r="C1271" s="630"/>
      <c r="M1271" s="630" t="s">
        <v>1735</v>
      </c>
      <c r="N1271" s="630"/>
      <c r="O1271" s="630"/>
      <c r="P1271" s="630"/>
      <c r="Q1271" s="627">
        <v>3116287.39</v>
      </c>
      <c r="R1271" s="627"/>
      <c r="T1271" s="631">
        <v>0</v>
      </c>
      <c r="U1271" s="631"/>
      <c r="V1271" s="631"/>
      <c r="Y1271" s="631">
        <v>1896503.87</v>
      </c>
      <c r="Z1271" s="631"/>
      <c r="AA1271" s="631"/>
      <c r="AB1271" s="631"/>
      <c r="AC1271" s="631"/>
      <c r="AD1271" s="631"/>
      <c r="AF1271" s="627">
        <v>1219783.52</v>
      </c>
      <c r="AG1271" s="627"/>
      <c r="AH1271" s="627"/>
      <c r="AI1271" s="627"/>
      <c r="AJ1271" s="627"/>
      <c r="AK1271" s="627"/>
      <c r="AL1271" s="627"/>
    </row>
    <row r="1272" spans="1:38" ht="11.1" customHeight="1" x14ac:dyDescent="0.25">
      <c r="A1272" s="630" t="s">
        <v>4551</v>
      </c>
      <c r="B1272" s="630"/>
      <c r="C1272" s="630"/>
      <c r="M1272" s="630" t="s">
        <v>1737</v>
      </c>
      <c r="N1272" s="630"/>
      <c r="O1272" s="630"/>
      <c r="P1272" s="630"/>
      <c r="Q1272" s="627">
        <v>752.4</v>
      </c>
      <c r="R1272" s="627"/>
      <c r="T1272" s="631">
        <v>68.400000000000006</v>
      </c>
      <c r="U1272" s="631"/>
      <c r="V1272" s="631"/>
      <c r="Y1272" s="631">
        <v>0</v>
      </c>
      <c r="Z1272" s="631"/>
      <c r="AA1272" s="631"/>
      <c r="AB1272" s="631"/>
      <c r="AC1272" s="631"/>
      <c r="AD1272" s="631"/>
      <c r="AF1272" s="627">
        <v>820.8</v>
      </c>
      <c r="AG1272" s="627"/>
      <c r="AH1272" s="627"/>
      <c r="AI1272" s="627"/>
      <c r="AJ1272" s="627"/>
      <c r="AK1272" s="627"/>
      <c r="AL1272" s="627"/>
    </row>
    <row r="1273" spans="1:38" ht="11.1" customHeight="1" x14ac:dyDescent="0.25">
      <c r="A1273" s="632" t="s">
        <v>4552</v>
      </c>
      <c r="B1273" s="632"/>
      <c r="C1273" s="632"/>
      <c r="J1273" s="632" t="s">
        <v>1739</v>
      </c>
      <c r="K1273" s="632"/>
      <c r="L1273" s="632"/>
      <c r="M1273" s="632"/>
      <c r="N1273" s="632"/>
      <c r="O1273" s="632"/>
      <c r="P1273" s="632"/>
      <c r="Q1273" s="633">
        <v>68880.25</v>
      </c>
      <c r="R1273" s="633"/>
      <c r="T1273" s="634">
        <v>7899.73</v>
      </c>
      <c r="U1273" s="634"/>
      <c r="V1273" s="634"/>
      <c r="Y1273" s="634">
        <v>0.06</v>
      </c>
      <c r="Z1273" s="634"/>
      <c r="AA1273" s="634"/>
      <c r="AB1273" s="634"/>
      <c r="AC1273" s="634"/>
      <c r="AD1273" s="634"/>
      <c r="AF1273" s="633">
        <v>76779.92</v>
      </c>
      <c r="AG1273" s="633"/>
      <c r="AH1273" s="633"/>
      <c r="AI1273" s="633"/>
      <c r="AJ1273" s="633"/>
      <c r="AK1273" s="633"/>
      <c r="AL1273" s="633"/>
    </row>
    <row r="1274" spans="1:38" ht="11.1" customHeight="1" x14ac:dyDescent="0.25">
      <c r="A1274" s="630" t="s">
        <v>4553</v>
      </c>
      <c r="B1274" s="630"/>
      <c r="C1274" s="630"/>
      <c r="K1274" s="630" t="s">
        <v>1741</v>
      </c>
      <c r="L1274" s="630"/>
      <c r="M1274" s="630"/>
      <c r="N1274" s="630"/>
      <c r="O1274" s="630"/>
      <c r="P1274" s="630"/>
      <c r="Q1274" s="627">
        <v>550.49</v>
      </c>
      <c r="R1274" s="627"/>
      <c r="T1274" s="631">
        <v>153.09</v>
      </c>
      <c r="U1274" s="631"/>
      <c r="V1274" s="631"/>
      <c r="Y1274" s="631">
        <v>0</v>
      </c>
      <c r="Z1274" s="631"/>
      <c r="AA1274" s="631"/>
      <c r="AB1274" s="631"/>
      <c r="AC1274" s="631"/>
      <c r="AD1274" s="631"/>
      <c r="AF1274" s="627">
        <v>703.58</v>
      </c>
      <c r="AG1274" s="627"/>
      <c r="AH1274" s="627"/>
      <c r="AI1274" s="627"/>
      <c r="AJ1274" s="627"/>
      <c r="AK1274" s="627"/>
      <c r="AL1274" s="627"/>
    </row>
    <row r="1275" spans="1:38" ht="11.1" customHeight="1" x14ac:dyDescent="0.25">
      <c r="A1275" s="630" t="s">
        <v>4554</v>
      </c>
      <c r="B1275" s="630"/>
      <c r="C1275" s="630"/>
      <c r="L1275" s="630" t="s">
        <v>302</v>
      </c>
      <c r="M1275" s="630"/>
      <c r="N1275" s="630"/>
      <c r="O1275" s="630"/>
      <c r="P1275" s="630"/>
      <c r="Q1275" s="627">
        <v>550.49</v>
      </c>
      <c r="R1275" s="627"/>
      <c r="T1275" s="631">
        <v>153.09</v>
      </c>
      <c r="U1275" s="631"/>
      <c r="V1275" s="631"/>
      <c r="Y1275" s="631">
        <v>0</v>
      </c>
      <c r="Z1275" s="631"/>
      <c r="AA1275" s="631"/>
      <c r="AB1275" s="631"/>
      <c r="AC1275" s="631"/>
      <c r="AD1275" s="631"/>
      <c r="AF1275" s="627">
        <v>703.58</v>
      </c>
      <c r="AG1275" s="627"/>
      <c r="AH1275" s="627"/>
      <c r="AI1275" s="627"/>
      <c r="AJ1275" s="627"/>
      <c r="AK1275" s="627"/>
      <c r="AL1275" s="627"/>
    </row>
    <row r="1276" spans="1:38" ht="11.1" customHeight="1" x14ac:dyDescent="0.25">
      <c r="A1276" s="630" t="s">
        <v>4555</v>
      </c>
      <c r="B1276" s="630"/>
      <c r="C1276" s="630"/>
      <c r="M1276" s="630" t="s">
        <v>1741</v>
      </c>
      <c r="N1276" s="630"/>
      <c r="O1276" s="630"/>
      <c r="P1276" s="630"/>
      <c r="Q1276" s="627">
        <v>550.49</v>
      </c>
      <c r="R1276" s="627"/>
      <c r="T1276" s="631">
        <v>153.09</v>
      </c>
      <c r="U1276" s="631"/>
      <c r="V1276" s="631"/>
      <c r="Y1276" s="631">
        <v>0</v>
      </c>
      <c r="Z1276" s="631"/>
      <c r="AA1276" s="631"/>
      <c r="AB1276" s="631"/>
      <c r="AC1276" s="631"/>
      <c r="AD1276" s="631"/>
      <c r="AF1276" s="627">
        <v>703.58</v>
      </c>
      <c r="AG1276" s="627"/>
      <c r="AH1276" s="627"/>
      <c r="AI1276" s="627"/>
      <c r="AJ1276" s="627"/>
      <c r="AK1276" s="627"/>
      <c r="AL1276" s="627"/>
    </row>
    <row r="1277" spans="1:38" ht="11.1" customHeight="1" x14ac:dyDescent="0.25">
      <c r="A1277" s="630" t="s">
        <v>4556</v>
      </c>
      <c r="B1277" s="630"/>
      <c r="C1277" s="630"/>
      <c r="K1277" s="630" t="s">
        <v>331</v>
      </c>
      <c r="L1277" s="630"/>
      <c r="M1277" s="630"/>
      <c r="N1277" s="630"/>
      <c r="O1277" s="630"/>
      <c r="P1277" s="630"/>
      <c r="Q1277" s="627">
        <v>68329.759999999995</v>
      </c>
      <c r="R1277" s="627"/>
      <c r="T1277" s="631">
        <v>7746.64</v>
      </c>
      <c r="U1277" s="631"/>
      <c r="V1277" s="631"/>
      <c r="Y1277" s="631">
        <v>0.06</v>
      </c>
      <c r="Z1277" s="631"/>
      <c r="AA1277" s="631"/>
      <c r="AB1277" s="631"/>
      <c r="AC1277" s="631"/>
      <c r="AD1277" s="631"/>
      <c r="AF1277" s="627">
        <v>76076.34</v>
      </c>
      <c r="AG1277" s="627"/>
      <c r="AH1277" s="627"/>
      <c r="AI1277" s="627"/>
      <c r="AJ1277" s="627"/>
      <c r="AK1277" s="627"/>
      <c r="AL1277" s="627"/>
    </row>
    <row r="1278" spans="1:38" ht="11.1" customHeight="1" x14ac:dyDescent="0.25">
      <c r="A1278" s="630" t="s">
        <v>4557</v>
      </c>
      <c r="B1278" s="630"/>
      <c r="C1278" s="630"/>
      <c r="L1278" s="630" t="s">
        <v>302</v>
      </c>
      <c r="M1278" s="630"/>
      <c r="N1278" s="630"/>
      <c r="O1278" s="630"/>
      <c r="P1278" s="630"/>
      <c r="Q1278" s="627">
        <v>68246.98</v>
      </c>
      <c r="R1278" s="627"/>
      <c r="T1278" s="631">
        <v>7657.86</v>
      </c>
      <c r="U1278" s="631"/>
      <c r="V1278" s="631"/>
      <c r="Y1278" s="631">
        <v>0.06</v>
      </c>
      <c r="Z1278" s="631"/>
      <c r="AA1278" s="631"/>
      <c r="AB1278" s="631"/>
      <c r="AC1278" s="631"/>
      <c r="AD1278" s="631"/>
      <c r="AF1278" s="627">
        <v>75904.78</v>
      </c>
      <c r="AG1278" s="627"/>
      <c r="AH1278" s="627"/>
      <c r="AI1278" s="627"/>
      <c r="AJ1278" s="627"/>
      <c r="AK1278" s="627"/>
      <c r="AL1278" s="627"/>
    </row>
    <row r="1279" spans="1:38" ht="11.1" customHeight="1" x14ac:dyDescent="0.25">
      <c r="A1279" s="630" t="s">
        <v>4558</v>
      </c>
      <c r="B1279" s="630"/>
      <c r="C1279" s="630"/>
      <c r="M1279" s="630" t="s">
        <v>2024</v>
      </c>
      <c r="N1279" s="630"/>
      <c r="O1279" s="630"/>
      <c r="P1279" s="630"/>
      <c r="Q1279" s="627">
        <v>68246.98</v>
      </c>
      <c r="R1279" s="627"/>
      <c r="T1279" s="631">
        <v>7657.86</v>
      </c>
      <c r="U1279" s="631"/>
      <c r="V1279" s="631"/>
      <c r="Y1279" s="631">
        <v>0.06</v>
      </c>
      <c r="Z1279" s="631"/>
      <c r="AA1279" s="631"/>
      <c r="AB1279" s="631"/>
      <c r="AC1279" s="631"/>
      <c r="AD1279" s="631"/>
      <c r="AF1279" s="627">
        <v>75904.78</v>
      </c>
      <c r="AG1279" s="627"/>
      <c r="AH1279" s="627"/>
      <c r="AI1279" s="627"/>
      <c r="AJ1279" s="627"/>
      <c r="AK1279" s="627"/>
      <c r="AL1279" s="627"/>
    </row>
    <row r="1280" spans="1:38" ht="11.1" customHeight="1" x14ac:dyDescent="0.25">
      <c r="A1280" s="630" t="s">
        <v>4559</v>
      </c>
      <c r="B1280" s="630"/>
      <c r="C1280" s="630"/>
      <c r="L1280" s="630" t="s">
        <v>591</v>
      </c>
      <c r="M1280" s="630"/>
      <c r="N1280" s="630"/>
      <c r="O1280" s="630"/>
      <c r="P1280" s="630"/>
      <c r="Q1280" s="627">
        <v>82.78</v>
      </c>
      <c r="R1280" s="627"/>
      <c r="T1280" s="631">
        <v>88.78</v>
      </c>
      <c r="U1280" s="631"/>
      <c r="V1280" s="631"/>
      <c r="Y1280" s="631">
        <v>0</v>
      </c>
      <c r="Z1280" s="631"/>
      <c r="AA1280" s="631"/>
      <c r="AB1280" s="631"/>
      <c r="AC1280" s="631"/>
      <c r="AD1280" s="631"/>
      <c r="AF1280" s="627">
        <v>171.56</v>
      </c>
      <c r="AG1280" s="627"/>
      <c r="AH1280" s="627"/>
      <c r="AI1280" s="627"/>
      <c r="AJ1280" s="627"/>
      <c r="AK1280" s="627"/>
      <c r="AL1280" s="627"/>
    </row>
    <row r="1281" spans="1:38" ht="11.1" customHeight="1" x14ac:dyDescent="0.25">
      <c r="A1281" s="630" t="s">
        <v>4560</v>
      </c>
      <c r="B1281" s="630"/>
      <c r="C1281" s="630"/>
      <c r="M1281" s="630" t="s">
        <v>2953</v>
      </c>
      <c r="N1281" s="630"/>
      <c r="O1281" s="630"/>
      <c r="P1281" s="630"/>
      <c r="Q1281" s="627">
        <v>0</v>
      </c>
      <c r="R1281" s="627"/>
      <c r="T1281" s="631">
        <v>88.78</v>
      </c>
      <c r="U1281" s="631"/>
      <c r="V1281" s="631"/>
      <c r="Y1281" s="631">
        <v>0</v>
      </c>
      <c r="Z1281" s="631"/>
      <c r="AA1281" s="631"/>
      <c r="AB1281" s="631"/>
      <c r="AC1281" s="631"/>
      <c r="AD1281" s="631"/>
      <c r="AF1281" s="627">
        <v>88.78</v>
      </c>
      <c r="AG1281" s="627"/>
      <c r="AH1281" s="627"/>
      <c r="AI1281" s="627"/>
      <c r="AJ1281" s="627"/>
      <c r="AK1281" s="627"/>
      <c r="AL1281" s="627"/>
    </row>
    <row r="1282" spans="1:38" ht="11.1" customHeight="1" x14ac:dyDescent="0.25">
      <c r="A1282" s="630" t="s">
        <v>4561</v>
      </c>
      <c r="B1282" s="630"/>
      <c r="C1282" s="630"/>
      <c r="M1282" s="630" t="s">
        <v>1940</v>
      </c>
      <c r="N1282" s="630"/>
      <c r="O1282" s="630"/>
      <c r="P1282" s="630"/>
      <c r="Q1282" s="627">
        <v>82.78</v>
      </c>
      <c r="R1282" s="627"/>
      <c r="T1282" s="631">
        <v>0</v>
      </c>
      <c r="U1282" s="631"/>
      <c r="V1282" s="631"/>
      <c r="Y1282" s="631">
        <v>0</v>
      </c>
      <c r="Z1282" s="631"/>
      <c r="AA1282" s="631"/>
      <c r="AB1282" s="631"/>
      <c r="AC1282" s="631"/>
      <c r="AD1282" s="631"/>
      <c r="AF1282" s="627">
        <v>82.78</v>
      </c>
      <c r="AG1282" s="627"/>
      <c r="AH1282" s="627"/>
      <c r="AI1282" s="627"/>
      <c r="AJ1282" s="627"/>
      <c r="AK1282" s="627"/>
      <c r="AL1282" s="627"/>
    </row>
    <row r="1283" spans="1:38" ht="11.1" customHeight="1" x14ac:dyDescent="0.25">
      <c r="A1283" s="632" t="s">
        <v>4562</v>
      </c>
      <c r="B1283" s="632"/>
      <c r="C1283" s="632"/>
      <c r="J1283" s="632" t="s">
        <v>1747</v>
      </c>
      <c r="K1283" s="632"/>
      <c r="L1283" s="632"/>
      <c r="M1283" s="632"/>
      <c r="N1283" s="632"/>
      <c r="O1283" s="632"/>
      <c r="P1283" s="632"/>
      <c r="Q1283" s="633">
        <v>2741675.24</v>
      </c>
      <c r="R1283" s="633"/>
      <c r="T1283" s="634">
        <v>0</v>
      </c>
      <c r="U1283" s="634"/>
      <c r="V1283" s="634"/>
      <c r="Y1283" s="634">
        <v>0</v>
      </c>
      <c r="Z1283" s="634"/>
      <c r="AA1283" s="634"/>
      <c r="AB1283" s="634"/>
      <c r="AC1283" s="634"/>
      <c r="AD1283" s="634"/>
      <c r="AF1283" s="633">
        <v>2741675.24</v>
      </c>
      <c r="AG1283" s="633"/>
      <c r="AH1283" s="633"/>
      <c r="AI1283" s="633"/>
      <c r="AJ1283" s="633"/>
      <c r="AK1283" s="633"/>
      <c r="AL1283" s="633"/>
    </row>
    <row r="1284" spans="1:38" ht="11.1" customHeight="1" x14ac:dyDescent="0.25">
      <c r="A1284" s="630" t="s">
        <v>4563</v>
      </c>
      <c r="B1284" s="630"/>
      <c r="C1284" s="630"/>
      <c r="K1284" s="630" t="s">
        <v>1568</v>
      </c>
      <c r="L1284" s="630"/>
      <c r="M1284" s="630"/>
      <c r="N1284" s="630"/>
      <c r="O1284" s="630"/>
      <c r="P1284" s="630"/>
      <c r="Q1284" s="627">
        <v>1575486.29</v>
      </c>
      <c r="R1284" s="627"/>
      <c r="T1284" s="631">
        <v>0</v>
      </c>
      <c r="U1284" s="631"/>
      <c r="V1284" s="631"/>
      <c r="Y1284" s="631">
        <v>0</v>
      </c>
      <c r="Z1284" s="631"/>
      <c r="AA1284" s="631"/>
      <c r="AB1284" s="631"/>
      <c r="AC1284" s="631"/>
      <c r="AD1284" s="631"/>
      <c r="AF1284" s="627">
        <v>1575486.29</v>
      </c>
      <c r="AG1284" s="627"/>
      <c r="AH1284" s="627"/>
      <c r="AI1284" s="627"/>
      <c r="AJ1284" s="627"/>
      <c r="AK1284" s="627"/>
      <c r="AL1284" s="627"/>
    </row>
    <row r="1285" spans="1:38" ht="11.1" customHeight="1" x14ac:dyDescent="0.25">
      <c r="A1285" s="630" t="s">
        <v>4564</v>
      </c>
      <c r="B1285" s="630"/>
      <c r="C1285" s="630"/>
      <c r="M1285" s="630" t="s">
        <v>1750</v>
      </c>
      <c r="N1285" s="630"/>
      <c r="O1285" s="630"/>
      <c r="P1285" s="630"/>
      <c r="Q1285" s="627">
        <v>1575486.29</v>
      </c>
      <c r="R1285" s="627"/>
      <c r="T1285" s="631">
        <v>0</v>
      </c>
      <c r="U1285" s="631"/>
      <c r="V1285" s="631"/>
      <c r="Y1285" s="631">
        <v>0</v>
      </c>
      <c r="Z1285" s="631"/>
      <c r="AA1285" s="631"/>
      <c r="AB1285" s="631"/>
      <c r="AC1285" s="631"/>
      <c r="AD1285" s="631"/>
      <c r="AF1285" s="627">
        <v>1575486.29</v>
      </c>
      <c r="AG1285" s="627"/>
      <c r="AH1285" s="627"/>
      <c r="AI1285" s="627"/>
      <c r="AJ1285" s="627"/>
      <c r="AK1285" s="627"/>
      <c r="AL1285" s="627"/>
    </row>
    <row r="1286" spans="1:38" ht="11.1" customHeight="1" x14ac:dyDescent="0.25">
      <c r="A1286" s="630" t="s">
        <v>4565</v>
      </c>
      <c r="B1286" s="630"/>
      <c r="C1286" s="630"/>
      <c r="K1286" s="630" t="s">
        <v>1610</v>
      </c>
      <c r="L1286" s="630"/>
      <c r="M1286" s="630"/>
      <c r="N1286" s="630"/>
      <c r="O1286" s="630"/>
      <c r="P1286" s="630"/>
      <c r="Q1286" s="627">
        <v>436199.79</v>
      </c>
      <c r="R1286" s="627"/>
      <c r="T1286" s="631">
        <v>0</v>
      </c>
      <c r="U1286" s="631"/>
      <c r="V1286" s="631"/>
      <c r="Y1286" s="631">
        <v>0</v>
      </c>
      <c r="Z1286" s="631"/>
      <c r="AA1286" s="631"/>
      <c r="AB1286" s="631"/>
      <c r="AC1286" s="631"/>
      <c r="AD1286" s="631"/>
      <c r="AF1286" s="627">
        <v>436199.79</v>
      </c>
      <c r="AG1286" s="627"/>
      <c r="AH1286" s="627"/>
      <c r="AI1286" s="627"/>
      <c r="AJ1286" s="627"/>
      <c r="AK1286" s="627"/>
      <c r="AL1286" s="627"/>
    </row>
    <row r="1287" spans="1:38" ht="11.1" customHeight="1" x14ac:dyDescent="0.25">
      <c r="A1287" s="630" t="s">
        <v>4566</v>
      </c>
      <c r="B1287" s="630"/>
      <c r="C1287" s="630"/>
      <c r="M1287" s="630" t="s">
        <v>1753</v>
      </c>
      <c r="N1287" s="630"/>
      <c r="O1287" s="630"/>
      <c r="P1287" s="630"/>
      <c r="Q1287" s="627">
        <v>436199.79</v>
      </c>
      <c r="R1287" s="627"/>
      <c r="T1287" s="631">
        <v>0</v>
      </c>
      <c r="U1287" s="631"/>
      <c r="V1287" s="631"/>
      <c r="Y1287" s="631">
        <v>0</v>
      </c>
      <c r="Z1287" s="631"/>
      <c r="AA1287" s="631"/>
      <c r="AB1287" s="631"/>
      <c r="AC1287" s="631"/>
      <c r="AD1287" s="631"/>
      <c r="AF1287" s="627">
        <v>436199.79</v>
      </c>
      <c r="AG1287" s="627"/>
      <c r="AH1287" s="627"/>
      <c r="AI1287" s="627"/>
      <c r="AJ1287" s="627"/>
      <c r="AK1287" s="627"/>
      <c r="AL1287" s="627"/>
    </row>
    <row r="1288" spans="1:38" ht="11.1" customHeight="1" x14ac:dyDescent="0.25">
      <c r="A1288" s="630" t="s">
        <v>4567</v>
      </c>
      <c r="B1288" s="630"/>
      <c r="C1288" s="630"/>
      <c r="K1288" s="630" t="s">
        <v>1620</v>
      </c>
      <c r="L1288" s="630"/>
      <c r="M1288" s="630"/>
      <c r="N1288" s="630"/>
      <c r="O1288" s="630"/>
      <c r="P1288" s="630"/>
      <c r="Q1288" s="627">
        <v>145881.17000000001</v>
      </c>
      <c r="R1288" s="627"/>
      <c r="T1288" s="631">
        <v>0</v>
      </c>
      <c r="U1288" s="631"/>
      <c r="V1288" s="631"/>
      <c r="Y1288" s="631">
        <v>0</v>
      </c>
      <c r="Z1288" s="631"/>
      <c r="AA1288" s="631"/>
      <c r="AB1288" s="631"/>
      <c r="AC1288" s="631"/>
      <c r="AD1288" s="631"/>
      <c r="AF1288" s="627">
        <v>145881.17000000001</v>
      </c>
      <c r="AG1288" s="627"/>
      <c r="AH1288" s="627"/>
      <c r="AI1288" s="627"/>
      <c r="AJ1288" s="627"/>
      <c r="AK1288" s="627"/>
      <c r="AL1288" s="627"/>
    </row>
    <row r="1289" spans="1:38" ht="11.1" customHeight="1" x14ac:dyDescent="0.25">
      <c r="A1289" s="630" t="s">
        <v>4568</v>
      </c>
      <c r="B1289" s="630"/>
      <c r="C1289" s="630"/>
      <c r="M1289" s="630" t="s">
        <v>1756</v>
      </c>
      <c r="N1289" s="630"/>
      <c r="O1289" s="630"/>
      <c r="P1289" s="630"/>
      <c r="Q1289" s="627">
        <v>145881.17000000001</v>
      </c>
      <c r="R1289" s="627"/>
      <c r="T1289" s="631">
        <v>0</v>
      </c>
      <c r="U1289" s="631"/>
      <c r="V1289" s="631"/>
      <c r="Y1289" s="631">
        <v>0</v>
      </c>
      <c r="Z1289" s="631"/>
      <c r="AA1289" s="631"/>
      <c r="AB1289" s="631"/>
      <c r="AC1289" s="631"/>
      <c r="AD1289" s="631"/>
      <c r="AF1289" s="627">
        <v>145881.17000000001</v>
      </c>
      <c r="AG1289" s="627"/>
      <c r="AH1289" s="627"/>
      <c r="AI1289" s="627"/>
      <c r="AJ1289" s="627"/>
      <c r="AK1289" s="627"/>
      <c r="AL1289" s="627"/>
    </row>
    <row r="1290" spans="1:38" ht="11.1" customHeight="1" x14ac:dyDescent="0.25">
      <c r="A1290" s="630" t="s">
        <v>4569</v>
      </c>
      <c r="B1290" s="630"/>
      <c r="C1290" s="630"/>
      <c r="K1290" s="630" t="s">
        <v>2955</v>
      </c>
      <c r="L1290" s="630"/>
      <c r="M1290" s="630"/>
      <c r="N1290" s="630"/>
      <c r="O1290" s="630"/>
      <c r="P1290" s="630"/>
      <c r="Q1290" s="627">
        <v>122718.6</v>
      </c>
      <c r="R1290" s="627"/>
      <c r="T1290" s="631">
        <v>0</v>
      </c>
      <c r="U1290" s="631"/>
      <c r="V1290" s="631"/>
      <c r="Y1290" s="631">
        <v>0</v>
      </c>
      <c r="Z1290" s="631"/>
      <c r="AA1290" s="631"/>
      <c r="AB1290" s="631"/>
      <c r="AC1290" s="631"/>
      <c r="AD1290" s="631"/>
      <c r="AF1290" s="627">
        <v>122718.6</v>
      </c>
      <c r="AG1290" s="627"/>
      <c r="AH1290" s="627"/>
      <c r="AI1290" s="627"/>
      <c r="AJ1290" s="627"/>
      <c r="AK1290" s="627"/>
      <c r="AL1290" s="627"/>
    </row>
    <row r="1291" spans="1:38" ht="11.1" customHeight="1" x14ac:dyDescent="0.25">
      <c r="A1291" s="630" t="s">
        <v>4570</v>
      </c>
      <c r="B1291" s="630"/>
      <c r="C1291" s="630"/>
      <c r="M1291" s="630" t="s">
        <v>2957</v>
      </c>
      <c r="N1291" s="630"/>
      <c r="O1291" s="630"/>
      <c r="P1291" s="630"/>
      <c r="Q1291" s="627">
        <v>122718.6</v>
      </c>
      <c r="R1291" s="627"/>
      <c r="T1291" s="631">
        <v>0</v>
      </c>
      <c r="U1291" s="631"/>
      <c r="V1291" s="631"/>
      <c r="Y1291" s="631">
        <v>0</v>
      </c>
      <c r="Z1291" s="631"/>
      <c r="AA1291" s="631"/>
      <c r="AB1291" s="631"/>
      <c r="AC1291" s="631"/>
      <c r="AD1291" s="631"/>
      <c r="AF1291" s="627">
        <v>122718.6</v>
      </c>
      <c r="AG1291" s="627"/>
      <c r="AH1291" s="627"/>
      <c r="AI1291" s="627"/>
      <c r="AJ1291" s="627"/>
      <c r="AK1291" s="627"/>
      <c r="AL1291" s="627"/>
    </row>
    <row r="1292" spans="1:38" ht="11.1" customHeight="1" x14ac:dyDescent="0.25">
      <c r="A1292" s="630" t="s">
        <v>4571</v>
      </c>
      <c r="B1292" s="630"/>
      <c r="C1292" s="630"/>
      <c r="K1292" s="630" t="s">
        <v>1630</v>
      </c>
      <c r="L1292" s="630"/>
      <c r="M1292" s="630"/>
      <c r="N1292" s="630"/>
      <c r="O1292" s="630"/>
      <c r="P1292" s="630"/>
      <c r="Q1292" s="627">
        <v>148788.79999999999</v>
      </c>
      <c r="R1292" s="627"/>
      <c r="T1292" s="631">
        <v>0</v>
      </c>
      <c r="U1292" s="631"/>
      <c r="V1292" s="631"/>
      <c r="Y1292" s="631">
        <v>0</v>
      </c>
      <c r="Z1292" s="631"/>
      <c r="AA1292" s="631"/>
      <c r="AB1292" s="631"/>
      <c r="AC1292" s="631"/>
      <c r="AD1292" s="631"/>
      <c r="AF1292" s="627">
        <v>148788.79999999999</v>
      </c>
      <c r="AG1292" s="627"/>
      <c r="AH1292" s="627"/>
      <c r="AI1292" s="627"/>
      <c r="AJ1292" s="627"/>
      <c r="AK1292" s="627"/>
      <c r="AL1292" s="627"/>
    </row>
    <row r="1293" spans="1:38" ht="11.1" customHeight="1" x14ac:dyDescent="0.25">
      <c r="A1293" s="630" t="s">
        <v>4572</v>
      </c>
      <c r="B1293" s="630"/>
      <c r="C1293" s="630"/>
      <c r="M1293" s="630" t="s">
        <v>1759</v>
      </c>
      <c r="N1293" s="630"/>
      <c r="O1293" s="630"/>
      <c r="P1293" s="630"/>
      <c r="Q1293" s="627">
        <v>148788.79999999999</v>
      </c>
      <c r="R1293" s="627"/>
      <c r="T1293" s="631">
        <v>0</v>
      </c>
      <c r="U1293" s="631"/>
      <c r="V1293" s="631"/>
      <c r="Y1293" s="631">
        <v>0</v>
      </c>
      <c r="Z1293" s="631"/>
      <c r="AA1293" s="631"/>
      <c r="AB1293" s="631"/>
      <c r="AC1293" s="631"/>
      <c r="AD1293" s="631"/>
      <c r="AF1293" s="627">
        <v>148788.79999999999</v>
      </c>
      <c r="AG1293" s="627"/>
      <c r="AH1293" s="627"/>
      <c r="AI1293" s="627"/>
      <c r="AJ1293" s="627"/>
      <c r="AK1293" s="627"/>
      <c r="AL1293" s="627"/>
    </row>
    <row r="1294" spans="1:38" ht="11.1" customHeight="1" x14ac:dyDescent="0.25">
      <c r="A1294" s="630" t="s">
        <v>4573</v>
      </c>
      <c r="B1294" s="630"/>
      <c r="C1294" s="630"/>
      <c r="K1294" s="630" t="s">
        <v>1640</v>
      </c>
      <c r="L1294" s="630"/>
      <c r="M1294" s="630"/>
      <c r="N1294" s="630"/>
      <c r="O1294" s="630"/>
      <c r="P1294" s="630"/>
      <c r="Q1294" s="627">
        <v>301209.28000000003</v>
      </c>
      <c r="R1294" s="627"/>
      <c r="T1294" s="631">
        <v>0</v>
      </c>
      <c r="U1294" s="631"/>
      <c r="V1294" s="631"/>
      <c r="Y1294" s="631">
        <v>0</v>
      </c>
      <c r="Z1294" s="631"/>
      <c r="AA1294" s="631"/>
      <c r="AB1294" s="631"/>
      <c r="AC1294" s="631"/>
      <c r="AD1294" s="631"/>
      <c r="AF1294" s="627">
        <v>301209.28000000003</v>
      </c>
      <c r="AG1294" s="627"/>
      <c r="AH1294" s="627"/>
      <c r="AI1294" s="627"/>
      <c r="AJ1294" s="627"/>
      <c r="AK1294" s="627"/>
      <c r="AL1294" s="627"/>
    </row>
    <row r="1295" spans="1:38" ht="11.1" customHeight="1" x14ac:dyDescent="0.25">
      <c r="A1295" s="630" t="s">
        <v>4574</v>
      </c>
      <c r="B1295" s="630"/>
      <c r="C1295" s="630"/>
      <c r="M1295" s="630" t="s">
        <v>1762</v>
      </c>
      <c r="N1295" s="630"/>
      <c r="O1295" s="630"/>
      <c r="P1295" s="630"/>
      <c r="Q1295" s="627">
        <v>301209.28000000003</v>
      </c>
      <c r="R1295" s="627"/>
      <c r="T1295" s="631">
        <v>0</v>
      </c>
      <c r="U1295" s="631"/>
      <c r="V1295" s="631"/>
      <c r="Y1295" s="631">
        <v>0</v>
      </c>
      <c r="Z1295" s="631"/>
      <c r="AA1295" s="631"/>
      <c r="AB1295" s="631"/>
      <c r="AC1295" s="631"/>
      <c r="AD1295" s="631"/>
      <c r="AF1295" s="627">
        <v>301209.28000000003</v>
      </c>
      <c r="AG1295" s="627"/>
      <c r="AH1295" s="627"/>
      <c r="AI1295" s="627"/>
      <c r="AJ1295" s="627"/>
      <c r="AK1295" s="627"/>
      <c r="AL1295" s="627"/>
    </row>
    <row r="1296" spans="1:38" ht="11.1" customHeight="1" x14ac:dyDescent="0.25">
      <c r="A1296" s="630" t="s">
        <v>4575</v>
      </c>
      <c r="B1296" s="630"/>
      <c r="C1296" s="630"/>
      <c r="K1296" s="630" t="s">
        <v>331</v>
      </c>
      <c r="L1296" s="630"/>
      <c r="M1296" s="630"/>
      <c r="N1296" s="630"/>
      <c r="O1296" s="630"/>
      <c r="P1296" s="630"/>
      <c r="Q1296" s="627">
        <v>11391.31</v>
      </c>
      <c r="R1296" s="627"/>
      <c r="T1296" s="631">
        <v>0</v>
      </c>
      <c r="U1296" s="631"/>
      <c r="V1296" s="631"/>
      <c r="Y1296" s="631">
        <v>0</v>
      </c>
      <c r="Z1296" s="631"/>
      <c r="AA1296" s="631"/>
      <c r="AB1296" s="631"/>
      <c r="AC1296" s="631"/>
      <c r="AD1296" s="631"/>
      <c r="AF1296" s="627">
        <v>11391.31</v>
      </c>
      <c r="AG1296" s="627"/>
      <c r="AH1296" s="627"/>
      <c r="AI1296" s="627"/>
      <c r="AJ1296" s="627"/>
      <c r="AK1296" s="627"/>
      <c r="AL1296" s="627"/>
    </row>
    <row r="1297" spans="1:38" ht="11.1" customHeight="1" x14ac:dyDescent="0.25">
      <c r="A1297" s="630" t="s">
        <v>4576</v>
      </c>
      <c r="B1297" s="630"/>
      <c r="C1297" s="630"/>
      <c r="M1297" s="630" t="s">
        <v>1753</v>
      </c>
      <c r="N1297" s="630"/>
      <c r="O1297" s="630"/>
      <c r="P1297" s="630"/>
      <c r="Q1297" s="627">
        <v>11391.31</v>
      </c>
      <c r="R1297" s="627"/>
      <c r="T1297" s="631">
        <v>0</v>
      </c>
      <c r="U1297" s="631"/>
      <c r="V1297" s="631"/>
      <c r="Y1297" s="631">
        <v>0</v>
      </c>
      <c r="Z1297" s="631"/>
      <c r="AA1297" s="631"/>
      <c r="AB1297" s="631"/>
      <c r="AC1297" s="631"/>
      <c r="AD1297" s="631"/>
      <c r="AF1297" s="627">
        <v>11391.31</v>
      </c>
      <c r="AG1297" s="627"/>
      <c r="AH1297" s="627"/>
      <c r="AI1297" s="627"/>
      <c r="AJ1297" s="627"/>
      <c r="AK1297" s="627"/>
      <c r="AL1297" s="627"/>
    </row>
    <row r="1298" spans="1:38" ht="11.1" customHeight="1" x14ac:dyDescent="0.25">
      <c r="A1298" s="632" t="s">
        <v>4577</v>
      </c>
      <c r="B1298" s="632"/>
      <c r="C1298" s="632"/>
      <c r="J1298" s="632" t="s">
        <v>1766</v>
      </c>
      <c r="K1298" s="632"/>
      <c r="L1298" s="632"/>
      <c r="M1298" s="632"/>
      <c r="N1298" s="632"/>
      <c r="O1298" s="632"/>
      <c r="P1298" s="632"/>
      <c r="Q1298" s="633">
        <v>1806303.01</v>
      </c>
      <c r="R1298" s="633"/>
      <c r="T1298" s="634">
        <v>0</v>
      </c>
      <c r="U1298" s="634"/>
      <c r="V1298" s="634"/>
      <c r="Y1298" s="634">
        <v>0</v>
      </c>
      <c r="Z1298" s="634"/>
      <c r="AA1298" s="634"/>
      <c r="AB1298" s="634"/>
      <c r="AC1298" s="634"/>
      <c r="AD1298" s="634"/>
      <c r="AF1298" s="633">
        <v>1806303.01</v>
      </c>
      <c r="AG1298" s="633"/>
      <c r="AH1298" s="633"/>
      <c r="AI1298" s="633"/>
      <c r="AJ1298" s="633"/>
      <c r="AK1298" s="633"/>
      <c r="AL1298" s="633"/>
    </row>
    <row r="1299" spans="1:38" ht="11.1" customHeight="1" x14ac:dyDescent="0.25">
      <c r="A1299" s="630" t="s">
        <v>4578</v>
      </c>
      <c r="B1299" s="630"/>
      <c r="C1299" s="630"/>
      <c r="K1299" s="630" t="s">
        <v>1768</v>
      </c>
      <c r="L1299" s="630"/>
      <c r="M1299" s="630"/>
      <c r="N1299" s="630"/>
      <c r="O1299" s="630"/>
      <c r="P1299" s="630"/>
      <c r="Q1299" s="627">
        <v>1611941.09</v>
      </c>
      <c r="R1299" s="627"/>
      <c r="T1299" s="631">
        <v>0</v>
      </c>
      <c r="U1299" s="631"/>
      <c r="V1299" s="631"/>
      <c r="Y1299" s="631">
        <v>0</v>
      </c>
      <c r="Z1299" s="631"/>
      <c r="AA1299" s="631"/>
      <c r="AB1299" s="631"/>
      <c r="AC1299" s="631"/>
      <c r="AD1299" s="631"/>
      <c r="AF1299" s="627">
        <v>1611941.09</v>
      </c>
      <c r="AG1299" s="627"/>
      <c r="AH1299" s="627"/>
      <c r="AI1299" s="627"/>
      <c r="AJ1299" s="627"/>
      <c r="AK1299" s="627"/>
      <c r="AL1299" s="627"/>
    </row>
    <row r="1300" spans="1:38" ht="11.1" customHeight="1" x14ac:dyDescent="0.25">
      <c r="A1300" s="630" t="s">
        <v>4579</v>
      </c>
      <c r="B1300" s="630"/>
      <c r="C1300" s="630"/>
      <c r="M1300" s="630" t="s">
        <v>1753</v>
      </c>
      <c r="N1300" s="630"/>
      <c r="O1300" s="630"/>
      <c r="P1300" s="630"/>
      <c r="Q1300" s="627">
        <v>1611941.09</v>
      </c>
      <c r="R1300" s="627"/>
      <c r="T1300" s="631">
        <v>0</v>
      </c>
      <c r="U1300" s="631"/>
      <c r="V1300" s="631"/>
      <c r="Y1300" s="631">
        <v>0</v>
      </c>
      <c r="Z1300" s="631"/>
      <c r="AA1300" s="631"/>
      <c r="AB1300" s="631"/>
      <c r="AC1300" s="631"/>
      <c r="AD1300" s="631"/>
      <c r="AF1300" s="627">
        <v>1611941.09</v>
      </c>
      <c r="AG1300" s="627"/>
      <c r="AH1300" s="627"/>
      <c r="AI1300" s="627"/>
      <c r="AJ1300" s="627"/>
      <c r="AK1300" s="627"/>
      <c r="AL1300" s="627"/>
    </row>
    <row r="1301" spans="1:38" ht="11.1" customHeight="1" x14ac:dyDescent="0.25">
      <c r="A1301" s="630" t="s">
        <v>4580</v>
      </c>
      <c r="B1301" s="630"/>
      <c r="C1301" s="630"/>
      <c r="K1301" s="630" t="s">
        <v>1658</v>
      </c>
      <c r="L1301" s="630"/>
      <c r="M1301" s="630"/>
      <c r="N1301" s="630"/>
      <c r="O1301" s="630"/>
      <c r="P1301" s="630"/>
      <c r="Q1301" s="627">
        <v>194361.92</v>
      </c>
      <c r="R1301" s="627"/>
      <c r="T1301" s="631">
        <v>0</v>
      </c>
      <c r="U1301" s="631"/>
      <c r="V1301" s="631"/>
      <c r="Y1301" s="631">
        <v>0</v>
      </c>
      <c r="Z1301" s="631"/>
      <c r="AA1301" s="631"/>
      <c r="AB1301" s="631"/>
      <c r="AC1301" s="631"/>
      <c r="AD1301" s="631"/>
      <c r="AF1301" s="627">
        <v>194361.92</v>
      </c>
      <c r="AG1301" s="627"/>
      <c r="AH1301" s="627"/>
      <c r="AI1301" s="627"/>
      <c r="AJ1301" s="627"/>
      <c r="AK1301" s="627"/>
      <c r="AL1301" s="627"/>
    </row>
    <row r="1302" spans="1:38" ht="11.1" customHeight="1" x14ac:dyDescent="0.25">
      <c r="A1302" s="630" t="s">
        <v>4581</v>
      </c>
      <c r="B1302" s="630"/>
      <c r="C1302" s="630"/>
      <c r="M1302" s="630" t="s">
        <v>1753</v>
      </c>
      <c r="N1302" s="630"/>
      <c r="O1302" s="630"/>
      <c r="P1302" s="630"/>
      <c r="Q1302" s="627">
        <v>194361.92</v>
      </c>
      <c r="R1302" s="627"/>
      <c r="T1302" s="631">
        <v>0</v>
      </c>
      <c r="U1302" s="631"/>
      <c r="V1302" s="631"/>
      <c r="Y1302" s="631">
        <v>0</v>
      </c>
      <c r="Z1302" s="631"/>
      <c r="AA1302" s="631"/>
      <c r="AB1302" s="631"/>
      <c r="AC1302" s="631"/>
      <c r="AD1302" s="631"/>
      <c r="AF1302" s="627">
        <v>194361.92</v>
      </c>
      <c r="AG1302" s="627"/>
      <c r="AH1302" s="627"/>
      <c r="AI1302" s="627"/>
      <c r="AJ1302" s="627"/>
      <c r="AK1302" s="627"/>
      <c r="AL1302" s="627"/>
    </row>
    <row r="1303" spans="1:38" ht="11.1" customHeight="1" x14ac:dyDescent="0.25">
      <c r="A1303" s="632" t="s">
        <v>4582</v>
      </c>
      <c r="B1303" s="632"/>
      <c r="C1303" s="632"/>
      <c r="J1303" s="632" t="s">
        <v>1773</v>
      </c>
      <c r="K1303" s="632"/>
      <c r="L1303" s="632"/>
      <c r="M1303" s="632"/>
      <c r="N1303" s="632"/>
      <c r="O1303" s="632"/>
      <c r="P1303" s="632"/>
      <c r="Q1303" s="633">
        <v>2562694.9900000002</v>
      </c>
      <c r="R1303" s="633"/>
      <c r="T1303" s="634">
        <v>0</v>
      </c>
      <c r="U1303" s="634"/>
      <c r="V1303" s="634"/>
      <c r="Y1303" s="634">
        <v>0</v>
      </c>
      <c r="Z1303" s="634"/>
      <c r="AA1303" s="634"/>
      <c r="AB1303" s="634"/>
      <c r="AC1303" s="634"/>
      <c r="AD1303" s="634"/>
      <c r="AF1303" s="633">
        <v>2562694.9900000002</v>
      </c>
      <c r="AG1303" s="633"/>
      <c r="AH1303" s="633"/>
      <c r="AI1303" s="633"/>
      <c r="AJ1303" s="633"/>
      <c r="AK1303" s="633"/>
      <c r="AL1303" s="633"/>
    </row>
    <row r="1304" spans="1:38" ht="11.1" customHeight="1" x14ac:dyDescent="0.25">
      <c r="A1304" s="630" t="s">
        <v>4583</v>
      </c>
      <c r="B1304" s="630"/>
      <c r="C1304" s="630"/>
      <c r="K1304" s="630" t="s">
        <v>1660</v>
      </c>
      <c r="L1304" s="630"/>
      <c r="M1304" s="630"/>
      <c r="N1304" s="630"/>
      <c r="O1304" s="630"/>
      <c r="P1304" s="630"/>
      <c r="Q1304" s="627">
        <v>2554223.9900000002</v>
      </c>
      <c r="R1304" s="627"/>
      <c r="T1304" s="631">
        <v>0</v>
      </c>
      <c r="U1304" s="631"/>
      <c r="V1304" s="631"/>
      <c r="Y1304" s="631">
        <v>0</v>
      </c>
      <c r="Z1304" s="631"/>
      <c r="AA1304" s="631"/>
      <c r="AB1304" s="631"/>
      <c r="AC1304" s="631"/>
      <c r="AD1304" s="631"/>
      <c r="AF1304" s="627">
        <v>2554223.9900000002</v>
      </c>
      <c r="AG1304" s="627"/>
      <c r="AH1304" s="627"/>
      <c r="AI1304" s="627"/>
      <c r="AJ1304" s="627"/>
      <c r="AK1304" s="627"/>
      <c r="AL1304" s="627"/>
    </row>
    <row r="1305" spans="1:38" ht="11.1" customHeight="1" x14ac:dyDescent="0.25">
      <c r="A1305" s="630" t="s">
        <v>4584</v>
      </c>
      <c r="B1305" s="630"/>
      <c r="C1305" s="630"/>
      <c r="M1305" s="630" t="s">
        <v>1753</v>
      </c>
      <c r="N1305" s="630"/>
      <c r="O1305" s="630"/>
      <c r="P1305" s="630"/>
      <c r="Q1305" s="627">
        <v>2554223.9900000002</v>
      </c>
      <c r="R1305" s="627"/>
      <c r="T1305" s="631">
        <v>0</v>
      </c>
      <c r="U1305" s="631"/>
      <c r="V1305" s="631"/>
      <c r="Y1305" s="631">
        <v>0</v>
      </c>
      <c r="Z1305" s="631"/>
      <c r="AA1305" s="631"/>
      <c r="AB1305" s="631"/>
      <c r="AC1305" s="631"/>
      <c r="AD1305" s="631"/>
      <c r="AF1305" s="627">
        <v>2554223.9900000002</v>
      </c>
      <c r="AG1305" s="627"/>
      <c r="AH1305" s="627"/>
      <c r="AI1305" s="627"/>
      <c r="AJ1305" s="627"/>
      <c r="AK1305" s="627"/>
      <c r="AL1305" s="627"/>
    </row>
    <row r="1306" spans="1:38" ht="11.1" customHeight="1" x14ac:dyDescent="0.25">
      <c r="A1306" s="630" t="s">
        <v>4585</v>
      </c>
      <c r="B1306" s="630"/>
      <c r="C1306" s="630"/>
      <c r="K1306" s="630" t="s">
        <v>331</v>
      </c>
      <c r="L1306" s="630"/>
      <c r="M1306" s="630"/>
      <c r="N1306" s="630"/>
      <c r="O1306" s="630"/>
      <c r="P1306" s="630"/>
      <c r="Q1306" s="627">
        <v>8471</v>
      </c>
      <c r="R1306" s="627"/>
      <c r="T1306" s="631">
        <v>0</v>
      </c>
      <c r="U1306" s="631"/>
      <c r="V1306" s="631"/>
      <c r="Y1306" s="631">
        <v>0</v>
      </c>
      <c r="Z1306" s="631"/>
      <c r="AA1306" s="631"/>
      <c r="AB1306" s="631"/>
      <c r="AC1306" s="631"/>
      <c r="AD1306" s="631"/>
      <c r="AF1306" s="627">
        <v>8471</v>
      </c>
      <c r="AG1306" s="627"/>
      <c r="AH1306" s="627"/>
      <c r="AI1306" s="627"/>
      <c r="AJ1306" s="627"/>
      <c r="AK1306" s="627"/>
      <c r="AL1306" s="627"/>
    </row>
    <row r="1307" spans="1:38" ht="11.1" customHeight="1" x14ac:dyDescent="0.25">
      <c r="A1307" s="630" t="s">
        <v>4586</v>
      </c>
      <c r="B1307" s="630"/>
      <c r="C1307" s="630"/>
      <c r="M1307" s="630" t="s">
        <v>1778</v>
      </c>
      <c r="N1307" s="630"/>
      <c r="O1307" s="630"/>
      <c r="P1307" s="630"/>
      <c r="Q1307" s="627">
        <v>8471</v>
      </c>
      <c r="R1307" s="627"/>
      <c r="T1307" s="631">
        <v>0</v>
      </c>
      <c r="U1307" s="631"/>
      <c r="V1307" s="631"/>
      <c r="Y1307" s="631">
        <v>0</v>
      </c>
      <c r="Z1307" s="631"/>
      <c r="AA1307" s="631"/>
      <c r="AB1307" s="631"/>
      <c r="AC1307" s="631"/>
      <c r="AD1307" s="631"/>
      <c r="AF1307" s="627">
        <v>8471</v>
      </c>
      <c r="AG1307" s="627"/>
      <c r="AH1307" s="627"/>
      <c r="AI1307" s="627"/>
      <c r="AJ1307" s="627"/>
      <c r="AK1307" s="627"/>
      <c r="AL1307" s="627"/>
    </row>
    <row r="1308" spans="1:38" ht="11.1" customHeight="1" x14ac:dyDescent="0.25">
      <c r="A1308" s="632" t="s">
        <v>4587</v>
      </c>
      <c r="B1308" s="632"/>
      <c r="C1308" s="632"/>
      <c r="J1308" s="632" t="s">
        <v>1780</v>
      </c>
      <c r="K1308" s="632"/>
      <c r="L1308" s="632"/>
      <c r="M1308" s="632"/>
      <c r="N1308" s="632"/>
      <c r="O1308" s="632"/>
      <c r="P1308" s="632"/>
      <c r="Q1308" s="633">
        <v>1625736.8</v>
      </c>
      <c r="R1308" s="633"/>
      <c r="T1308" s="634">
        <v>0</v>
      </c>
      <c r="U1308" s="634"/>
      <c r="V1308" s="634"/>
      <c r="Y1308" s="634">
        <v>0</v>
      </c>
      <c r="Z1308" s="634"/>
      <c r="AA1308" s="634"/>
      <c r="AB1308" s="634"/>
      <c r="AC1308" s="634"/>
      <c r="AD1308" s="634"/>
      <c r="AF1308" s="633">
        <v>1625736.8</v>
      </c>
      <c r="AG1308" s="633"/>
      <c r="AH1308" s="633"/>
      <c r="AI1308" s="633"/>
      <c r="AJ1308" s="633"/>
      <c r="AK1308" s="633"/>
      <c r="AL1308" s="633"/>
    </row>
    <row r="1309" spans="1:38" ht="11.1" customHeight="1" x14ac:dyDescent="0.25">
      <c r="A1309" s="630" t="s">
        <v>4588</v>
      </c>
      <c r="B1309" s="630"/>
      <c r="C1309" s="630"/>
      <c r="K1309" s="630" t="s">
        <v>1677</v>
      </c>
      <c r="L1309" s="630"/>
      <c r="M1309" s="630"/>
      <c r="N1309" s="630"/>
      <c r="O1309" s="630"/>
      <c r="P1309" s="630"/>
      <c r="Q1309" s="627">
        <v>1625736.8</v>
      </c>
      <c r="R1309" s="627"/>
      <c r="T1309" s="631">
        <v>0</v>
      </c>
      <c r="U1309" s="631"/>
      <c r="V1309" s="631"/>
      <c r="Y1309" s="631">
        <v>0</v>
      </c>
      <c r="Z1309" s="631"/>
      <c r="AA1309" s="631"/>
      <c r="AB1309" s="631"/>
      <c r="AC1309" s="631"/>
      <c r="AD1309" s="631"/>
      <c r="AF1309" s="627">
        <v>1625736.8</v>
      </c>
      <c r="AG1309" s="627"/>
      <c r="AH1309" s="627"/>
      <c r="AI1309" s="627"/>
      <c r="AJ1309" s="627"/>
      <c r="AK1309" s="627"/>
      <c r="AL1309" s="627"/>
    </row>
    <row r="1310" spans="1:38" ht="11.1" customHeight="1" x14ac:dyDescent="0.25">
      <c r="A1310" s="630" t="s">
        <v>4589</v>
      </c>
      <c r="B1310" s="630"/>
      <c r="C1310" s="630"/>
      <c r="M1310" s="630" t="s">
        <v>1753</v>
      </c>
      <c r="N1310" s="630"/>
      <c r="O1310" s="630"/>
      <c r="P1310" s="630"/>
      <c r="Q1310" s="627">
        <v>1625736.8</v>
      </c>
      <c r="R1310" s="627"/>
      <c r="T1310" s="631">
        <v>0</v>
      </c>
      <c r="U1310" s="631"/>
      <c r="V1310" s="631"/>
      <c r="Y1310" s="631">
        <v>0</v>
      </c>
      <c r="Z1310" s="631"/>
      <c r="AA1310" s="631"/>
      <c r="AB1310" s="631"/>
      <c r="AC1310" s="631"/>
      <c r="AD1310" s="631"/>
      <c r="AF1310" s="627">
        <v>1625736.8</v>
      </c>
      <c r="AG1310" s="627"/>
      <c r="AH1310" s="627"/>
      <c r="AI1310" s="627"/>
      <c r="AJ1310" s="627"/>
      <c r="AK1310" s="627"/>
      <c r="AL1310" s="627"/>
    </row>
    <row r="1311" spans="1:38" ht="11.1" customHeight="1" x14ac:dyDescent="0.25">
      <c r="A1311" s="632" t="s">
        <v>4590</v>
      </c>
      <c r="B1311" s="632"/>
      <c r="C1311" s="632"/>
      <c r="J1311" s="632" t="s">
        <v>1784</v>
      </c>
      <c r="K1311" s="632"/>
      <c r="L1311" s="632"/>
      <c r="M1311" s="632"/>
      <c r="N1311" s="632"/>
      <c r="O1311" s="632"/>
      <c r="P1311" s="632"/>
      <c r="Q1311" s="633">
        <v>20465.689999999999</v>
      </c>
      <c r="R1311" s="633"/>
      <c r="T1311" s="634">
        <v>0</v>
      </c>
      <c r="U1311" s="634"/>
      <c r="V1311" s="634"/>
      <c r="Y1311" s="634">
        <v>0</v>
      </c>
      <c r="Z1311" s="634"/>
      <c r="AA1311" s="634"/>
      <c r="AB1311" s="634"/>
      <c r="AC1311" s="634"/>
      <c r="AD1311" s="634"/>
      <c r="AF1311" s="633">
        <v>20465.689999999999</v>
      </c>
      <c r="AG1311" s="633"/>
      <c r="AH1311" s="633"/>
      <c r="AI1311" s="633"/>
      <c r="AJ1311" s="633"/>
      <c r="AK1311" s="633"/>
      <c r="AL1311" s="633"/>
    </row>
    <row r="1312" spans="1:38" ht="11.1" customHeight="1" x14ac:dyDescent="0.25">
      <c r="A1312" s="630" t="s">
        <v>4591</v>
      </c>
      <c r="B1312" s="630"/>
      <c r="C1312" s="630"/>
      <c r="K1312" s="630" t="s">
        <v>1702</v>
      </c>
      <c r="L1312" s="630"/>
      <c r="M1312" s="630"/>
      <c r="N1312" s="630"/>
      <c r="O1312" s="630"/>
      <c r="P1312" s="630"/>
      <c r="Q1312" s="627">
        <v>20465.689999999999</v>
      </c>
      <c r="R1312" s="627"/>
      <c r="T1312" s="631">
        <v>0</v>
      </c>
      <c r="U1312" s="631"/>
      <c r="V1312" s="631"/>
      <c r="Y1312" s="631">
        <v>0</v>
      </c>
      <c r="Z1312" s="631"/>
      <c r="AA1312" s="631"/>
      <c r="AB1312" s="631"/>
      <c r="AC1312" s="631"/>
      <c r="AD1312" s="631"/>
      <c r="AF1312" s="627">
        <v>20465.689999999999</v>
      </c>
      <c r="AG1312" s="627"/>
      <c r="AH1312" s="627"/>
      <c r="AI1312" s="627"/>
      <c r="AJ1312" s="627"/>
      <c r="AK1312" s="627"/>
      <c r="AL1312" s="627"/>
    </row>
    <row r="1313" spans="1:38" ht="11.1" customHeight="1" x14ac:dyDescent="0.25">
      <c r="A1313" s="630" t="s">
        <v>4592</v>
      </c>
      <c r="B1313" s="630"/>
      <c r="C1313" s="630"/>
      <c r="M1313" s="630" t="s">
        <v>1753</v>
      </c>
      <c r="N1313" s="630"/>
      <c r="O1313" s="630"/>
      <c r="P1313" s="630"/>
      <c r="Q1313" s="627">
        <v>20465.689999999999</v>
      </c>
      <c r="R1313" s="627"/>
      <c r="T1313" s="631">
        <v>0</v>
      </c>
      <c r="U1313" s="631"/>
      <c r="V1313" s="631"/>
      <c r="Y1313" s="631">
        <v>0</v>
      </c>
      <c r="Z1313" s="631"/>
      <c r="AA1313" s="631"/>
      <c r="AB1313" s="631"/>
      <c r="AC1313" s="631"/>
      <c r="AD1313" s="631"/>
      <c r="AF1313" s="627">
        <v>20465.689999999999</v>
      </c>
      <c r="AG1313" s="627"/>
      <c r="AH1313" s="627"/>
      <c r="AI1313" s="627"/>
      <c r="AJ1313" s="627"/>
      <c r="AK1313" s="627"/>
      <c r="AL1313" s="627"/>
    </row>
    <row r="1314" spans="1:38" ht="11.1" customHeight="1" x14ac:dyDescent="0.25">
      <c r="A1314" s="632" t="s">
        <v>4593</v>
      </c>
      <c r="B1314" s="632"/>
      <c r="C1314" s="632"/>
      <c r="J1314" s="632" t="s">
        <v>1788</v>
      </c>
      <c r="K1314" s="632"/>
      <c r="L1314" s="632"/>
      <c r="M1314" s="632"/>
      <c r="N1314" s="632"/>
      <c r="O1314" s="632"/>
      <c r="P1314" s="632"/>
      <c r="Q1314" s="633">
        <v>-230276.28</v>
      </c>
      <c r="R1314" s="633"/>
      <c r="T1314" s="634">
        <v>0</v>
      </c>
      <c r="U1314" s="634"/>
      <c r="V1314" s="634"/>
      <c r="Y1314" s="634">
        <v>0</v>
      </c>
      <c r="Z1314" s="634"/>
      <c r="AA1314" s="634"/>
      <c r="AB1314" s="634"/>
      <c r="AC1314" s="634"/>
      <c r="AD1314" s="634"/>
      <c r="AF1314" s="633">
        <v>-230276.28</v>
      </c>
      <c r="AG1314" s="633"/>
      <c r="AH1314" s="633"/>
      <c r="AI1314" s="633"/>
      <c r="AJ1314" s="633"/>
      <c r="AK1314" s="633"/>
      <c r="AL1314" s="633"/>
    </row>
    <row r="1315" spans="1:38" ht="11.1" customHeight="1" x14ac:dyDescent="0.25">
      <c r="A1315" s="630" t="s">
        <v>4594</v>
      </c>
      <c r="B1315" s="630"/>
      <c r="C1315" s="630"/>
      <c r="K1315" s="630" t="s">
        <v>2959</v>
      </c>
      <c r="L1315" s="630"/>
      <c r="M1315" s="630"/>
      <c r="N1315" s="630"/>
      <c r="O1315" s="630"/>
      <c r="P1315" s="630"/>
      <c r="Q1315" s="627">
        <v>-230276.28</v>
      </c>
      <c r="R1315" s="627"/>
      <c r="T1315" s="631">
        <v>0</v>
      </c>
      <c r="U1315" s="631"/>
      <c r="V1315" s="631"/>
      <c r="Y1315" s="631">
        <v>0</v>
      </c>
      <c r="Z1315" s="631"/>
      <c r="AA1315" s="631"/>
      <c r="AB1315" s="631"/>
      <c r="AC1315" s="631"/>
      <c r="AD1315" s="631"/>
      <c r="AF1315" s="627">
        <v>-230276.28</v>
      </c>
      <c r="AG1315" s="627"/>
      <c r="AH1315" s="627"/>
      <c r="AI1315" s="627"/>
      <c r="AJ1315" s="627"/>
      <c r="AK1315" s="627"/>
      <c r="AL1315" s="627"/>
    </row>
    <row r="1316" spans="1:38" ht="11.1" customHeight="1" x14ac:dyDescent="0.25">
      <c r="A1316" s="630" t="s">
        <v>4595</v>
      </c>
      <c r="B1316" s="630"/>
      <c r="C1316" s="630"/>
      <c r="M1316" s="630" t="s">
        <v>1753</v>
      </c>
      <c r="N1316" s="630"/>
      <c r="O1316" s="630"/>
      <c r="P1316" s="630"/>
      <c r="Q1316" s="627">
        <v>-230276.28</v>
      </c>
      <c r="R1316" s="627"/>
      <c r="T1316" s="631">
        <v>0</v>
      </c>
      <c r="U1316" s="631"/>
      <c r="V1316" s="631"/>
      <c r="Y1316" s="631">
        <v>0</v>
      </c>
      <c r="Z1316" s="631"/>
      <c r="AA1316" s="631"/>
      <c r="AB1316" s="631"/>
      <c r="AC1316" s="631"/>
      <c r="AD1316" s="631"/>
      <c r="AF1316" s="627">
        <v>-230276.28</v>
      </c>
      <c r="AG1316" s="627"/>
      <c r="AH1316" s="627"/>
      <c r="AI1316" s="627"/>
      <c r="AJ1316" s="627"/>
      <c r="AK1316" s="627"/>
      <c r="AL1316" s="627"/>
    </row>
    <row r="1317" spans="1:38" ht="11.1" customHeight="1" x14ac:dyDescent="0.25">
      <c r="A1317" s="632" t="s">
        <v>4596</v>
      </c>
      <c r="B1317" s="632"/>
      <c r="C1317" s="632"/>
      <c r="J1317" s="632" t="s">
        <v>1790</v>
      </c>
      <c r="K1317" s="632"/>
      <c r="L1317" s="632"/>
      <c r="M1317" s="632"/>
      <c r="N1317" s="632"/>
      <c r="O1317" s="632"/>
      <c r="P1317" s="632"/>
      <c r="Q1317" s="633">
        <v>12368.12</v>
      </c>
      <c r="R1317" s="633"/>
      <c r="T1317" s="634">
        <v>0</v>
      </c>
      <c r="U1317" s="634"/>
      <c r="V1317" s="634"/>
      <c r="Y1317" s="634">
        <v>0</v>
      </c>
      <c r="Z1317" s="634"/>
      <c r="AA1317" s="634"/>
      <c r="AB1317" s="634"/>
      <c r="AC1317" s="634"/>
      <c r="AD1317" s="634"/>
      <c r="AF1317" s="633">
        <v>12368.12</v>
      </c>
      <c r="AG1317" s="633"/>
      <c r="AH1317" s="633"/>
      <c r="AI1317" s="633"/>
      <c r="AJ1317" s="633"/>
      <c r="AK1317" s="633"/>
      <c r="AL1317" s="633"/>
    </row>
    <row r="1318" spans="1:38" ht="11.1" customHeight="1" x14ac:dyDescent="0.25">
      <c r="A1318" s="630" t="s">
        <v>4597</v>
      </c>
      <c r="B1318" s="630"/>
      <c r="C1318" s="630"/>
      <c r="K1318" s="630" t="s">
        <v>1042</v>
      </c>
      <c r="L1318" s="630"/>
      <c r="M1318" s="630"/>
      <c r="N1318" s="630"/>
      <c r="O1318" s="630"/>
      <c r="P1318" s="630"/>
      <c r="Q1318" s="627">
        <v>12368.12</v>
      </c>
      <c r="R1318" s="627"/>
      <c r="T1318" s="631">
        <v>0</v>
      </c>
      <c r="U1318" s="631"/>
      <c r="V1318" s="631"/>
      <c r="Y1318" s="631">
        <v>0</v>
      </c>
      <c r="Z1318" s="631"/>
      <c r="AA1318" s="631"/>
      <c r="AB1318" s="631"/>
      <c r="AC1318" s="631"/>
      <c r="AD1318" s="631"/>
      <c r="AF1318" s="627">
        <v>12368.12</v>
      </c>
      <c r="AG1318" s="627"/>
      <c r="AH1318" s="627"/>
      <c r="AI1318" s="627"/>
      <c r="AJ1318" s="627"/>
      <c r="AK1318" s="627"/>
      <c r="AL1318" s="627"/>
    </row>
    <row r="1319" spans="1:38" ht="11.1" customHeight="1" x14ac:dyDescent="0.25">
      <c r="A1319" s="630" t="s">
        <v>4598</v>
      </c>
      <c r="B1319" s="630"/>
      <c r="C1319" s="630"/>
      <c r="M1319" s="630" t="s">
        <v>1753</v>
      </c>
      <c r="N1319" s="630"/>
      <c r="O1319" s="630"/>
      <c r="P1319" s="630"/>
      <c r="Q1319" s="627">
        <v>12368.12</v>
      </c>
      <c r="R1319" s="627"/>
      <c r="T1319" s="631">
        <v>0</v>
      </c>
      <c r="U1319" s="631"/>
      <c r="V1319" s="631"/>
      <c r="Y1319" s="631">
        <v>0</v>
      </c>
      <c r="Z1319" s="631"/>
      <c r="AA1319" s="631"/>
      <c r="AB1319" s="631"/>
      <c r="AC1319" s="631"/>
      <c r="AD1319" s="631"/>
      <c r="AF1319" s="627">
        <v>12368.12</v>
      </c>
      <c r="AG1319" s="627"/>
      <c r="AH1319" s="627"/>
      <c r="AI1319" s="627"/>
      <c r="AJ1319" s="627"/>
      <c r="AK1319" s="627"/>
      <c r="AL1319" s="627"/>
    </row>
    <row r="1320" spans="1:38" ht="11.1" customHeight="1" x14ac:dyDescent="0.25">
      <c r="A1320" s="632" t="s">
        <v>4599</v>
      </c>
      <c r="B1320" s="632"/>
      <c r="C1320" s="632"/>
      <c r="J1320" s="632" t="s">
        <v>1794</v>
      </c>
      <c r="K1320" s="632"/>
      <c r="L1320" s="632"/>
      <c r="M1320" s="632"/>
      <c r="N1320" s="632"/>
      <c r="O1320" s="632"/>
      <c r="P1320" s="632"/>
      <c r="Q1320" s="633">
        <v>144146.56</v>
      </c>
      <c r="R1320" s="633"/>
      <c r="T1320" s="634">
        <v>0</v>
      </c>
      <c r="U1320" s="634"/>
      <c r="V1320" s="634"/>
      <c r="Y1320" s="634">
        <v>0</v>
      </c>
      <c r="Z1320" s="634"/>
      <c r="AA1320" s="634"/>
      <c r="AB1320" s="634"/>
      <c r="AC1320" s="634"/>
      <c r="AD1320" s="634"/>
      <c r="AF1320" s="633">
        <v>144146.56</v>
      </c>
      <c r="AG1320" s="633"/>
      <c r="AH1320" s="633"/>
      <c r="AI1320" s="633"/>
      <c r="AJ1320" s="633"/>
      <c r="AK1320" s="633"/>
      <c r="AL1320" s="633"/>
    </row>
    <row r="1321" spans="1:38" ht="11.1" customHeight="1" x14ac:dyDescent="0.25">
      <c r="A1321" s="630" t="s">
        <v>4600</v>
      </c>
      <c r="B1321" s="630"/>
      <c r="C1321" s="630"/>
      <c r="K1321" s="630" t="s">
        <v>1721</v>
      </c>
      <c r="L1321" s="630"/>
      <c r="M1321" s="630"/>
      <c r="N1321" s="630"/>
      <c r="O1321" s="630"/>
      <c r="P1321" s="630"/>
      <c r="Q1321" s="627">
        <v>144146.56</v>
      </c>
      <c r="R1321" s="627"/>
      <c r="T1321" s="631">
        <v>0</v>
      </c>
      <c r="U1321" s="631"/>
      <c r="V1321" s="631"/>
      <c r="Y1321" s="631">
        <v>0</v>
      </c>
      <c r="Z1321" s="631"/>
      <c r="AA1321" s="631"/>
      <c r="AB1321" s="631"/>
      <c r="AC1321" s="631"/>
      <c r="AD1321" s="631"/>
      <c r="AF1321" s="627">
        <v>144146.56</v>
      </c>
      <c r="AG1321" s="627"/>
      <c r="AH1321" s="627"/>
      <c r="AI1321" s="627"/>
      <c r="AJ1321" s="627"/>
      <c r="AK1321" s="627"/>
      <c r="AL1321" s="627"/>
    </row>
    <row r="1322" spans="1:38" ht="11.1" customHeight="1" x14ac:dyDescent="0.25">
      <c r="A1322" s="630" t="s">
        <v>4601</v>
      </c>
      <c r="B1322" s="630"/>
      <c r="C1322" s="630"/>
      <c r="M1322" s="630" t="s">
        <v>1721</v>
      </c>
      <c r="N1322" s="630"/>
      <c r="O1322" s="630"/>
      <c r="P1322" s="630"/>
      <c r="Q1322" s="627">
        <v>144146.56</v>
      </c>
      <c r="R1322" s="627"/>
      <c r="T1322" s="631">
        <v>0</v>
      </c>
      <c r="U1322" s="631"/>
      <c r="V1322" s="631"/>
      <c r="Y1322" s="631">
        <v>0</v>
      </c>
      <c r="Z1322" s="631"/>
      <c r="AA1322" s="631"/>
      <c r="AB1322" s="631"/>
      <c r="AC1322" s="631"/>
      <c r="AD1322" s="631"/>
      <c r="AF1322" s="627">
        <v>144146.56</v>
      </c>
      <c r="AG1322" s="627"/>
      <c r="AH1322" s="627"/>
      <c r="AI1322" s="627"/>
      <c r="AJ1322" s="627"/>
      <c r="AK1322" s="627"/>
      <c r="AL1322" s="627"/>
    </row>
    <row r="1323" spans="1:38" ht="11.1" customHeight="1" x14ac:dyDescent="0.25">
      <c r="A1323" s="632" t="s">
        <v>4602</v>
      </c>
      <c r="B1323" s="632"/>
      <c r="C1323" s="632"/>
      <c r="J1323" s="632" t="s">
        <v>2962</v>
      </c>
      <c r="K1323" s="632"/>
      <c r="L1323" s="632"/>
      <c r="M1323" s="632"/>
      <c r="N1323" s="632"/>
      <c r="O1323" s="632"/>
      <c r="P1323" s="632"/>
      <c r="Q1323" s="633">
        <v>308399.02</v>
      </c>
      <c r="R1323" s="633"/>
      <c r="T1323" s="634">
        <v>0</v>
      </c>
      <c r="U1323" s="634"/>
      <c r="V1323" s="634"/>
      <c r="Y1323" s="634">
        <v>0</v>
      </c>
      <c r="Z1323" s="634"/>
      <c r="AA1323" s="634"/>
      <c r="AB1323" s="634"/>
      <c r="AC1323" s="634"/>
      <c r="AD1323" s="634"/>
      <c r="AF1323" s="633">
        <v>308399.02</v>
      </c>
      <c r="AG1323" s="633"/>
      <c r="AH1323" s="633"/>
      <c r="AI1323" s="633"/>
      <c r="AJ1323" s="633"/>
      <c r="AK1323" s="633"/>
      <c r="AL1323" s="633"/>
    </row>
    <row r="1324" spans="1:38" ht="11.1" customHeight="1" x14ac:dyDescent="0.25">
      <c r="A1324" s="630" t="s">
        <v>4603</v>
      </c>
      <c r="B1324" s="630"/>
      <c r="C1324" s="630"/>
      <c r="K1324" s="630" t="s">
        <v>1731</v>
      </c>
      <c r="L1324" s="630"/>
      <c r="M1324" s="630"/>
      <c r="N1324" s="630"/>
      <c r="O1324" s="630"/>
      <c r="P1324" s="630"/>
      <c r="Q1324" s="627">
        <v>308399.02</v>
      </c>
      <c r="R1324" s="627"/>
      <c r="T1324" s="631">
        <v>0</v>
      </c>
      <c r="U1324" s="631"/>
      <c r="V1324" s="631"/>
      <c r="Y1324" s="631">
        <v>0</v>
      </c>
      <c r="Z1324" s="631"/>
      <c r="AA1324" s="631"/>
      <c r="AB1324" s="631"/>
      <c r="AC1324" s="631"/>
      <c r="AD1324" s="631"/>
      <c r="AF1324" s="627">
        <v>308399.02</v>
      </c>
      <c r="AG1324" s="627"/>
      <c r="AH1324" s="627"/>
      <c r="AI1324" s="627"/>
      <c r="AJ1324" s="627"/>
      <c r="AK1324" s="627"/>
      <c r="AL1324" s="627"/>
    </row>
    <row r="1325" spans="1:38" ht="11.1" customHeight="1" x14ac:dyDescent="0.25">
      <c r="A1325" s="630" t="s">
        <v>4604</v>
      </c>
      <c r="B1325" s="630"/>
      <c r="C1325" s="630"/>
      <c r="M1325" s="630" t="s">
        <v>1731</v>
      </c>
      <c r="N1325" s="630"/>
      <c r="O1325" s="630"/>
      <c r="P1325" s="630"/>
      <c r="Q1325" s="627">
        <v>308399.02</v>
      </c>
      <c r="R1325" s="627"/>
      <c r="T1325" s="631">
        <v>0</v>
      </c>
      <c r="U1325" s="631"/>
      <c r="V1325" s="631"/>
      <c r="Y1325" s="631">
        <v>0</v>
      </c>
      <c r="Z1325" s="631"/>
      <c r="AA1325" s="631"/>
      <c r="AB1325" s="631"/>
      <c r="AC1325" s="631"/>
      <c r="AD1325" s="631"/>
      <c r="AF1325" s="627">
        <v>308399.02</v>
      </c>
      <c r="AG1325" s="627"/>
      <c r="AH1325" s="627"/>
      <c r="AI1325" s="627"/>
      <c r="AJ1325" s="627"/>
      <c r="AK1325" s="627"/>
      <c r="AL1325" s="627"/>
    </row>
    <row r="1326" spans="1:38" ht="11.1" customHeight="1" x14ac:dyDescent="0.25">
      <c r="A1326" s="632" t="s">
        <v>4605</v>
      </c>
      <c r="B1326" s="632"/>
      <c r="C1326" s="632"/>
      <c r="J1326" s="632" t="s">
        <v>1798</v>
      </c>
      <c r="K1326" s="632"/>
      <c r="L1326" s="632"/>
      <c r="M1326" s="632"/>
      <c r="N1326" s="632"/>
      <c r="O1326" s="632"/>
      <c r="P1326" s="632"/>
      <c r="Q1326" s="633">
        <v>150261.54</v>
      </c>
      <c r="R1326" s="633"/>
      <c r="T1326" s="634">
        <v>0</v>
      </c>
      <c r="U1326" s="634"/>
      <c r="V1326" s="634"/>
      <c r="Y1326" s="634">
        <v>0</v>
      </c>
      <c r="Z1326" s="634"/>
      <c r="AA1326" s="634"/>
      <c r="AB1326" s="634"/>
      <c r="AC1326" s="634"/>
      <c r="AD1326" s="634"/>
      <c r="AF1326" s="633">
        <v>150261.54</v>
      </c>
      <c r="AG1326" s="633"/>
      <c r="AH1326" s="633"/>
      <c r="AI1326" s="633"/>
      <c r="AJ1326" s="633"/>
      <c r="AK1326" s="633"/>
      <c r="AL1326" s="633"/>
    </row>
    <row r="1327" spans="1:38" ht="11.1" customHeight="1" x14ac:dyDescent="0.25">
      <c r="A1327" s="630" t="s">
        <v>4606</v>
      </c>
      <c r="B1327" s="630"/>
      <c r="C1327" s="630"/>
      <c r="K1327" s="630" t="s">
        <v>1741</v>
      </c>
      <c r="L1327" s="630"/>
      <c r="M1327" s="630"/>
      <c r="N1327" s="630"/>
      <c r="O1327" s="630"/>
      <c r="P1327" s="630"/>
      <c r="Q1327" s="627">
        <v>922.4</v>
      </c>
      <c r="R1327" s="627"/>
      <c r="T1327" s="631">
        <v>0</v>
      </c>
      <c r="U1327" s="631"/>
      <c r="V1327" s="631"/>
      <c r="Y1327" s="631">
        <v>0</v>
      </c>
      <c r="Z1327" s="631"/>
      <c r="AA1327" s="631"/>
      <c r="AB1327" s="631"/>
      <c r="AC1327" s="631"/>
      <c r="AD1327" s="631"/>
      <c r="AF1327" s="627">
        <v>922.4</v>
      </c>
      <c r="AG1327" s="627"/>
      <c r="AH1327" s="627"/>
      <c r="AI1327" s="627"/>
      <c r="AJ1327" s="627"/>
      <c r="AK1327" s="627"/>
      <c r="AL1327" s="627"/>
    </row>
    <row r="1328" spans="1:38" ht="11.1" customHeight="1" x14ac:dyDescent="0.25">
      <c r="A1328" s="630" t="s">
        <v>4607</v>
      </c>
      <c r="B1328" s="630"/>
      <c r="C1328" s="630"/>
      <c r="M1328" s="630" t="s">
        <v>1753</v>
      </c>
      <c r="N1328" s="630"/>
      <c r="O1328" s="630"/>
      <c r="P1328" s="630"/>
      <c r="Q1328" s="627">
        <v>922.4</v>
      </c>
      <c r="R1328" s="627"/>
      <c r="T1328" s="631">
        <v>0</v>
      </c>
      <c r="U1328" s="631"/>
      <c r="V1328" s="631"/>
      <c r="Y1328" s="631">
        <v>0</v>
      </c>
      <c r="Z1328" s="631"/>
      <c r="AA1328" s="631"/>
      <c r="AB1328" s="631"/>
      <c r="AC1328" s="631"/>
      <c r="AD1328" s="631"/>
      <c r="AF1328" s="627">
        <v>922.4</v>
      </c>
      <c r="AG1328" s="627"/>
      <c r="AH1328" s="627"/>
      <c r="AI1328" s="627"/>
      <c r="AJ1328" s="627"/>
      <c r="AK1328" s="627"/>
      <c r="AL1328" s="627"/>
    </row>
    <row r="1329" spans="1:38" ht="11.1" customHeight="1" x14ac:dyDescent="0.25">
      <c r="A1329" s="630" t="s">
        <v>4608</v>
      </c>
      <c r="B1329" s="630"/>
      <c r="C1329" s="630"/>
      <c r="K1329" s="630" t="s">
        <v>331</v>
      </c>
      <c r="L1329" s="630"/>
      <c r="M1329" s="630"/>
      <c r="N1329" s="630"/>
      <c r="O1329" s="630"/>
      <c r="P1329" s="630"/>
      <c r="Q1329" s="627">
        <v>149339.14000000001</v>
      </c>
      <c r="R1329" s="627"/>
      <c r="T1329" s="631">
        <v>0</v>
      </c>
      <c r="U1329" s="631"/>
      <c r="V1329" s="631"/>
      <c r="Y1329" s="631">
        <v>0</v>
      </c>
      <c r="Z1329" s="631"/>
      <c r="AA1329" s="631"/>
      <c r="AB1329" s="631"/>
      <c r="AC1329" s="631"/>
      <c r="AD1329" s="631"/>
      <c r="AF1329" s="627">
        <v>149339.14000000001</v>
      </c>
      <c r="AG1329" s="627"/>
      <c r="AH1329" s="627"/>
      <c r="AI1329" s="627"/>
      <c r="AJ1329" s="627"/>
      <c r="AK1329" s="627"/>
      <c r="AL1329" s="627"/>
    </row>
    <row r="1330" spans="1:38" ht="11.1" customHeight="1" x14ac:dyDescent="0.25">
      <c r="A1330" s="630" t="s">
        <v>4609</v>
      </c>
      <c r="B1330" s="630"/>
      <c r="C1330" s="630"/>
      <c r="M1330" s="630" t="s">
        <v>1753</v>
      </c>
      <c r="N1330" s="630"/>
      <c r="O1330" s="630"/>
      <c r="P1330" s="630"/>
      <c r="Q1330" s="627">
        <v>149339.14000000001</v>
      </c>
      <c r="R1330" s="627"/>
      <c r="T1330" s="631">
        <v>0</v>
      </c>
      <c r="U1330" s="631"/>
      <c r="V1330" s="631"/>
      <c r="Y1330" s="631">
        <v>0</v>
      </c>
      <c r="Z1330" s="631"/>
      <c r="AA1330" s="631"/>
      <c r="AB1330" s="631"/>
      <c r="AC1330" s="631"/>
      <c r="AD1330" s="631"/>
      <c r="AF1330" s="627">
        <v>149339.14000000001</v>
      </c>
      <c r="AG1330" s="627"/>
      <c r="AH1330" s="627"/>
      <c r="AI1330" s="627"/>
      <c r="AJ1330" s="627"/>
      <c r="AK1330" s="627"/>
      <c r="AL1330" s="627"/>
    </row>
    <row r="1331" spans="1:38" ht="11.1" customHeight="1" x14ac:dyDescent="0.25">
      <c r="A1331" s="632" t="s">
        <v>4610</v>
      </c>
      <c r="B1331" s="632"/>
      <c r="C1331" s="632"/>
      <c r="I1331" s="632" t="s">
        <v>1804</v>
      </c>
      <c r="J1331" s="632"/>
      <c r="K1331" s="632"/>
      <c r="L1331" s="632"/>
      <c r="M1331" s="632"/>
      <c r="N1331" s="632"/>
      <c r="O1331" s="632"/>
      <c r="P1331" s="632"/>
      <c r="Q1331" s="633">
        <v>0</v>
      </c>
      <c r="R1331" s="633"/>
      <c r="T1331" s="634">
        <v>1104094.93</v>
      </c>
      <c r="U1331" s="634"/>
      <c r="V1331" s="634"/>
      <c r="Y1331" s="634">
        <v>18567.009999999998</v>
      </c>
      <c r="Z1331" s="634"/>
      <c r="AA1331" s="634"/>
      <c r="AB1331" s="634"/>
      <c r="AC1331" s="634"/>
      <c r="AD1331" s="634"/>
      <c r="AF1331" s="633">
        <v>1085527.92</v>
      </c>
      <c r="AG1331" s="633"/>
      <c r="AH1331" s="633"/>
      <c r="AI1331" s="633"/>
      <c r="AJ1331" s="633"/>
      <c r="AK1331" s="633"/>
      <c r="AL1331" s="633"/>
    </row>
    <row r="1332" spans="1:38" ht="11.1" customHeight="1" x14ac:dyDescent="0.25">
      <c r="A1332" s="632" t="s">
        <v>4611</v>
      </c>
      <c r="B1332" s="632"/>
      <c r="C1332" s="632"/>
      <c r="J1332" s="632" t="s">
        <v>1566</v>
      </c>
      <c r="K1332" s="632"/>
      <c r="L1332" s="632"/>
      <c r="M1332" s="632"/>
      <c r="N1332" s="632"/>
      <c r="O1332" s="632"/>
      <c r="P1332" s="632"/>
      <c r="Q1332" s="633">
        <v>2741675.24</v>
      </c>
      <c r="R1332" s="633"/>
      <c r="T1332" s="634">
        <v>244911.69</v>
      </c>
      <c r="U1332" s="634"/>
      <c r="V1332" s="634"/>
      <c r="Y1332" s="634">
        <v>3461.5</v>
      </c>
      <c r="Z1332" s="634"/>
      <c r="AA1332" s="634"/>
      <c r="AB1332" s="634"/>
      <c r="AC1332" s="634"/>
      <c r="AD1332" s="634"/>
      <c r="AF1332" s="633">
        <v>2983125.43</v>
      </c>
      <c r="AG1332" s="633"/>
      <c r="AH1332" s="633"/>
      <c r="AI1332" s="633"/>
      <c r="AJ1332" s="633"/>
      <c r="AK1332" s="633"/>
      <c r="AL1332" s="633"/>
    </row>
    <row r="1333" spans="1:38" ht="11.1" customHeight="1" x14ac:dyDescent="0.25">
      <c r="A1333" s="630" t="s">
        <v>4612</v>
      </c>
      <c r="B1333" s="630"/>
      <c r="C1333" s="630"/>
      <c r="K1333" s="630" t="s">
        <v>1568</v>
      </c>
      <c r="L1333" s="630"/>
      <c r="M1333" s="630"/>
      <c r="N1333" s="630"/>
      <c r="O1333" s="630"/>
      <c r="P1333" s="630"/>
      <c r="Q1333" s="627">
        <v>1575486.29</v>
      </c>
      <c r="R1333" s="627"/>
      <c r="T1333" s="631">
        <v>143469.49</v>
      </c>
      <c r="U1333" s="631"/>
      <c r="V1333" s="631"/>
      <c r="Y1333" s="631">
        <v>3049.7</v>
      </c>
      <c r="Z1333" s="631"/>
      <c r="AA1333" s="631"/>
      <c r="AB1333" s="631"/>
      <c r="AC1333" s="631"/>
      <c r="AD1333" s="631"/>
      <c r="AF1333" s="627">
        <v>1715906.08</v>
      </c>
      <c r="AG1333" s="627"/>
      <c r="AH1333" s="627"/>
      <c r="AI1333" s="627"/>
      <c r="AJ1333" s="627"/>
      <c r="AK1333" s="627"/>
      <c r="AL1333" s="627"/>
    </row>
    <row r="1334" spans="1:38" ht="11.1" customHeight="1" x14ac:dyDescent="0.25">
      <c r="A1334" s="630" t="s">
        <v>4613</v>
      </c>
      <c r="B1334" s="630"/>
      <c r="C1334" s="630"/>
      <c r="L1334" s="630" t="s">
        <v>2294</v>
      </c>
      <c r="M1334" s="630"/>
      <c r="N1334" s="630"/>
      <c r="O1334" s="630"/>
      <c r="P1334" s="630"/>
      <c r="Q1334" s="627">
        <v>427298.71</v>
      </c>
      <c r="R1334" s="627"/>
      <c r="T1334" s="631">
        <v>38915.81</v>
      </c>
      <c r="U1334" s="631"/>
      <c r="V1334" s="631"/>
      <c r="Y1334" s="631">
        <v>2193.98</v>
      </c>
      <c r="Z1334" s="631"/>
      <c r="AA1334" s="631"/>
      <c r="AB1334" s="631"/>
      <c r="AC1334" s="631"/>
      <c r="AD1334" s="631"/>
      <c r="AF1334" s="627">
        <v>464020.54</v>
      </c>
      <c r="AG1334" s="627"/>
      <c r="AH1334" s="627"/>
      <c r="AI1334" s="627"/>
      <c r="AJ1334" s="627"/>
      <c r="AK1334" s="627"/>
      <c r="AL1334" s="627"/>
    </row>
    <row r="1335" spans="1:38" ht="11.1" customHeight="1" x14ac:dyDescent="0.25">
      <c r="A1335" s="630" t="s">
        <v>2642</v>
      </c>
      <c r="B1335" s="630"/>
      <c r="C1335" s="630"/>
      <c r="M1335" s="630" t="s">
        <v>1571</v>
      </c>
      <c r="N1335" s="630"/>
      <c r="O1335" s="630"/>
      <c r="P1335" s="630"/>
      <c r="Q1335" s="627">
        <v>310088.15000000002</v>
      </c>
      <c r="R1335" s="627"/>
      <c r="T1335" s="631">
        <v>26046.36</v>
      </c>
      <c r="U1335" s="631"/>
      <c r="V1335" s="631"/>
      <c r="Y1335" s="631">
        <v>2193.98</v>
      </c>
      <c r="Z1335" s="631"/>
      <c r="AA1335" s="631"/>
      <c r="AB1335" s="631"/>
      <c r="AC1335" s="631"/>
      <c r="AD1335" s="631"/>
      <c r="AF1335" s="627">
        <v>333940.53000000003</v>
      </c>
      <c r="AG1335" s="627"/>
      <c r="AH1335" s="627"/>
      <c r="AI1335" s="627"/>
      <c r="AJ1335" s="627"/>
      <c r="AK1335" s="627"/>
      <c r="AL1335" s="627"/>
    </row>
    <row r="1336" spans="1:38" ht="11.1" customHeight="1" x14ac:dyDescent="0.25">
      <c r="A1336" s="630" t="s">
        <v>2643</v>
      </c>
      <c r="B1336" s="630"/>
      <c r="C1336" s="630"/>
      <c r="M1336" s="630" t="s">
        <v>1573</v>
      </c>
      <c r="N1336" s="630"/>
      <c r="O1336" s="630"/>
      <c r="P1336" s="630"/>
      <c r="Q1336" s="627">
        <v>39744.51</v>
      </c>
      <c r="R1336" s="627"/>
      <c r="T1336" s="631">
        <v>3838.41</v>
      </c>
      <c r="U1336" s="631"/>
      <c r="V1336" s="631"/>
      <c r="Y1336" s="631">
        <v>0</v>
      </c>
      <c r="Z1336" s="631"/>
      <c r="AA1336" s="631"/>
      <c r="AB1336" s="631"/>
      <c r="AC1336" s="631"/>
      <c r="AD1336" s="631"/>
      <c r="AF1336" s="627">
        <v>43582.92</v>
      </c>
      <c r="AG1336" s="627"/>
      <c r="AH1336" s="627"/>
      <c r="AI1336" s="627"/>
      <c r="AJ1336" s="627"/>
      <c r="AK1336" s="627"/>
      <c r="AL1336" s="627"/>
    </row>
    <row r="1337" spans="1:38" ht="11.1" customHeight="1" x14ac:dyDescent="0.25">
      <c r="A1337" s="630" t="s">
        <v>2644</v>
      </c>
      <c r="B1337" s="630"/>
      <c r="C1337" s="630"/>
      <c r="M1337" s="630" t="s">
        <v>1575</v>
      </c>
      <c r="N1337" s="630"/>
      <c r="O1337" s="630"/>
      <c r="P1337" s="630"/>
      <c r="Q1337" s="627">
        <v>7045.1</v>
      </c>
      <c r="R1337" s="627"/>
      <c r="T1337" s="631">
        <v>1047.8800000000001</v>
      </c>
      <c r="U1337" s="631"/>
      <c r="V1337" s="631"/>
      <c r="Y1337" s="631">
        <v>0</v>
      </c>
      <c r="Z1337" s="631"/>
      <c r="AA1337" s="631"/>
      <c r="AB1337" s="631"/>
      <c r="AC1337" s="631"/>
      <c r="AD1337" s="631"/>
      <c r="AF1337" s="627">
        <v>8092.98</v>
      </c>
      <c r="AG1337" s="627"/>
      <c r="AH1337" s="627"/>
      <c r="AI1337" s="627"/>
      <c r="AJ1337" s="627"/>
      <c r="AK1337" s="627"/>
      <c r="AL1337" s="627"/>
    </row>
    <row r="1338" spans="1:38" ht="11.1" customHeight="1" x14ac:dyDescent="0.25">
      <c r="A1338" s="630" t="s">
        <v>2645</v>
      </c>
      <c r="B1338" s="630"/>
      <c r="C1338" s="630"/>
      <c r="M1338" s="630" t="s">
        <v>1577</v>
      </c>
      <c r="N1338" s="630"/>
      <c r="O1338" s="630"/>
      <c r="P1338" s="630"/>
      <c r="Q1338" s="627">
        <v>2064.48</v>
      </c>
      <c r="R1338" s="627"/>
      <c r="T1338" s="631">
        <v>307.06</v>
      </c>
      <c r="U1338" s="631"/>
      <c r="V1338" s="631"/>
      <c r="Y1338" s="631">
        <v>0</v>
      </c>
      <c r="Z1338" s="631"/>
      <c r="AA1338" s="631"/>
      <c r="AB1338" s="631"/>
      <c r="AC1338" s="631"/>
      <c r="AD1338" s="631"/>
      <c r="AF1338" s="627">
        <v>2371.54</v>
      </c>
      <c r="AG1338" s="627"/>
      <c r="AH1338" s="627"/>
      <c r="AI1338" s="627"/>
      <c r="AJ1338" s="627"/>
      <c r="AK1338" s="627"/>
      <c r="AL1338" s="627"/>
    </row>
    <row r="1339" spans="1:38" ht="11.1" customHeight="1" x14ac:dyDescent="0.25">
      <c r="A1339" s="630" t="s">
        <v>2646</v>
      </c>
      <c r="B1339" s="630"/>
      <c r="C1339" s="630"/>
      <c r="M1339" s="630" t="s">
        <v>1579</v>
      </c>
      <c r="N1339" s="630"/>
      <c r="O1339" s="630"/>
      <c r="P1339" s="630"/>
      <c r="Q1339" s="627">
        <v>29841.58</v>
      </c>
      <c r="R1339" s="627"/>
      <c r="T1339" s="631">
        <v>2784.32</v>
      </c>
      <c r="U1339" s="631"/>
      <c r="V1339" s="631"/>
      <c r="Y1339" s="631">
        <v>0</v>
      </c>
      <c r="Z1339" s="631"/>
      <c r="AA1339" s="631"/>
      <c r="AB1339" s="631"/>
      <c r="AC1339" s="631"/>
      <c r="AD1339" s="631"/>
      <c r="AF1339" s="627">
        <v>32625.9</v>
      </c>
      <c r="AG1339" s="627"/>
      <c r="AH1339" s="627"/>
      <c r="AI1339" s="627"/>
      <c r="AJ1339" s="627"/>
      <c r="AK1339" s="627"/>
      <c r="AL1339" s="627"/>
    </row>
    <row r="1340" spans="1:38" ht="11.1" customHeight="1" x14ac:dyDescent="0.25">
      <c r="A1340" s="630" t="s">
        <v>2647</v>
      </c>
      <c r="B1340" s="630"/>
      <c r="C1340" s="630"/>
      <c r="M1340" s="630" t="s">
        <v>1581</v>
      </c>
      <c r="N1340" s="630"/>
      <c r="O1340" s="630"/>
      <c r="P1340" s="630"/>
      <c r="Q1340" s="627">
        <v>8146.75</v>
      </c>
      <c r="R1340" s="627"/>
      <c r="T1340" s="631">
        <v>760.12</v>
      </c>
      <c r="U1340" s="631"/>
      <c r="V1340" s="631"/>
      <c r="Y1340" s="631">
        <v>0</v>
      </c>
      <c r="Z1340" s="631"/>
      <c r="AA1340" s="631"/>
      <c r="AB1340" s="631"/>
      <c r="AC1340" s="631"/>
      <c r="AD1340" s="631"/>
      <c r="AF1340" s="627">
        <v>8906.8700000000008</v>
      </c>
      <c r="AG1340" s="627"/>
      <c r="AH1340" s="627"/>
      <c r="AI1340" s="627"/>
      <c r="AJ1340" s="627"/>
      <c r="AK1340" s="627"/>
      <c r="AL1340" s="627"/>
    </row>
    <row r="1341" spans="1:38" ht="11.1" customHeight="1" x14ac:dyDescent="0.25">
      <c r="A1341" s="630" t="s">
        <v>2648</v>
      </c>
      <c r="B1341" s="630"/>
      <c r="C1341" s="630"/>
      <c r="M1341" s="630" t="s">
        <v>1583</v>
      </c>
      <c r="N1341" s="630"/>
      <c r="O1341" s="630"/>
      <c r="P1341" s="630"/>
      <c r="Q1341" s="627">
        <v>2387.31</v>
      </c>
      <c r="R1341" s="627"/>
      <c r="T1341" s="631">
        <v>222.74</v>
      </c>
      <c r="U1341" s="631"/>
      <c r="V1341" s="631"/>
      <c r="Y1341" s="631">
        <v>0</v>
      </c>
      <c r="Z1341" s="631"/>
      <c r="AA1341" s="631"/>
      <c r="AB1341" s="631"/>
      <c r="AC1341" s="631"/>
      <c r="AD1341" s="631"/>
      <c r="AF1341" s="627">
        <v>2610.0500000000002</v>
      </c>
      <c r="AG1341" s="627"/>
      <c r="AH1341" s="627"/>
      <c r="AI1341" s="627"/>
      <c r="AJ1341" s="627"/>
      <c r="AK1341" s="627"/>
      <c r="AL1341" s="627"/>
    </row>
    <row r="1342" spans="1:38" ht="11.1" customHeight="1" x14ac:dyDescent="0.25">
      <c r="A1342" s="630" t="s">
        <v>2649</v>
      </c>
      <c r="B1342" s="630"/>
      <c r="C1342" s="630"/>
      <c r="M1342" s="630" t="s">
        <v>1585</v>
      </c>
      <c r="N1342" s="630"/>
      <c r="O1342" s="630"/>
      <c r="P1342" s="630"/>
      <c r="Q1342" s="627">
        <v>5522.58</v>
      </c>
      <c r="R1342" s="627"/>
      <c r="T1342" s="631">
        <v>554.73</v>
      </c>
      <c r="U1342" s="631"/>
      <c r="V1342" s="631"/>
      <c r="Y1342" s="631">
        <v>0</v>
      </c>
      <c r="Z1342" s="631"/>
      <c r="AA1342" s="631"/>
      <c r="AB1342" s="631"/>
      <c r="AC1342" s="631"/>
      <c r="AD1342" s="631"/>
      <c r="AF1342" s="627">
        <v>6077.31</v>
      </c>
      <c r="AG1342" s="627"/>
      <c r="AH1342" s="627"/>
      <c r="AI1342" s="627"/>
      <c r="AJ1342" s="627"/>
      <c r="AK1342" s="627"/>
      <c r="AL1342" s="627"/>
    </row>
    <row r="1343" spans="1:38" ht="11.1" customHeight="1" x14ac:dyDescent="0.25">
      <c r="A1343" s="630" t="s">
        <v>2650</v>
      </c>
      <c r="B1343" s="630"/>
      <c r="C1343" s="630"/>
      <c r="M1343" s="630" t="s">
        <v>1587</v>
      </c>
      <c r="N1343" s="630"/>
      <c r="O1343" s="630"/>
      <c r="P1343" s="630"/>
      <c r="Q1343" s="627">
        <v>1124.32</v>
      </c>
      <c r="R1343" s="627"/>
      <c r="T1343" s="631">
        <v>180</v>
      </c>
      <c r="U1343" s="631"/>
      <c r="V1343" s="631"/>
      <c r="Y1343" s="631">
        <v>0</v>
      </c>
      <c r="Z1343" s="631"/>
      <c r="AA1343" s="631"/>
      <c r="AB1343" s="631"/>
      <c r="AC1343" s="631"/>
      <c r="AD1343" s="631"/>
      <c r="AF1343" s="627">
        <v>1304.32</v>
      </c>
      <c r="AG1343" s="627"/>
      <c r="AH1343" s="627"/>
      <c r="AI1343" s="627"/>
      <c r="AJ1343" s="627"/>
      <c r="AK1343" s="627"/>
      <c r="AL1343" s="627"/>
    </row>
    <row r="1344" spans="1:38" ht="11.1" customHeight="1" x14ac:dyDescent="0.25">
      <c r="A1344" s="630" t="s">
        <v>2651</v>
      </c>
      <c r="B1344" s="630"/>
      <c r="C1344" s="630"/>
      <c r="M1344" s="630" t="s">
        <v>1589</v>
      </c>
      <c r="N1344" s="630"/>
      <c r="O1344" s="630"/>
      <c r="P1344" s="630"/>
      <c r="Q1344" s="627">
        <v>21333.93</v>
      </c>
      <c r="R1344" s="627"/>
      <c r="T1344" s="631">
        <v>3174.19</v>
      </c>
      <c r="U1344" s="631"/>
      <c r="V1344" s="631"/>
      <c r="Y1344" s="631">
        <v>0</v>
      </c>
      <c r="Z1344" s="631"/>
      <c r="AA1344" s="631"/>
      <c r="AB1344" s="631"/>
      <c r="AC1344" s="631"/>
      <c r="AD1344" s="631"/>
      <c r="AF1344" s="627">
        <v>24508.12</v>
      </c>
      <c r="AG1344" s="627"/>
      <c r="AH1344" s="627"/>
      <c r="AI1344" s="627"/>
      <c r="AJ1344" s="627"/>
      <c r="AK1344" s="627"/>
      <c r="AL1344" s="627"/>
    </row>
    <row r="1345" spans="1:38" ht="11.1" customHeight="1" x14ac:dyDescent="0.25">
      <c r="A1345" s="630" t="s">
        <v>4614</v>
      </c>
      <c r="B1345" s="630"/>
      <c r="C1345" s="630"/>
      <c r="L1345" s="630" t="s">
        <v>335</v>
      </c>
      <c r="M1345" s="630"/>
      <c r="N1345" s="630"/>
      <c r="O1345" s="630"/>
      <c r="P1345" s="630"/>
      <c r="Q1345" s="627">
        <v>1148187.58</v>
      </c>
      <c r="R1345" s="627"/>
      <c r="T1345" s="631">
        <v>104553.68</v>
      </c>
      <c r="U1345" s="631"/>
      <c r="V1345" s="631"/>
      <c r="Y1345" s="631">
        <v>855.72</v>
      </c>
      <c r="Z1345" s="631"/>
      <c r="AA1345" s="631"/>
      <c r="AB1345" s="631"/>
      <c r="AC1345" s="631"/>
      <c r="AD1345" s="631"/>
      <c r="AF1345" s="627">
        <v>1251885.54</v>
      </c>
      <c r="AG1345" s="627"/>
      <c r="AH1345" s="627"/>
      <c r="AI1345" s="627"/>
      <c r="AJ1345" s="627"/>
      <c r="AK1345" s="627"/>
      <c r="AL1345" s="627"/>
    </row>
    <row r="1346" spans="1:38" ht="11.1" customHeight="1" x14ac:dyDescent="0.25">
      <c r="A1346" s="630" t="s">
        <v>2652</v>
      </c>
      <c r="B1346" s="630"/>
      <c r="C1346" s="630"/>
      <c r="M1346" s="630" t="s">
        <v>1571</v>
      </c>
      <c r="N1346" s="630"/>
      <c r="O1346" s="630"/>
      <c r="P1346" s="630"/>
      <c r="Q1346" s="627">
        <v>858564.42</v>
      </c>
      <c r="R1346" s="627"/>
      <c r="T1346" s="631">
        <v>68910</v>
      </c>
      <c r="U1346" s="631"/>
      <c r="V1346" s="631"/>
      <c r="Y1346" s="631">
        <v>0</v>
      </c>
      <c r="Z1346" s="631"/>
      <c r="AA1346" s="631"/>
      <c r="AB1346" s="631"/>
      <c r="AC1346" s="631"/>
      <c r="AD1346" s="631"/>
      <c r="AF1346" s="627">
        <v>927474.42</v>
      </c>
      <c r="AG1346" s="627"/>
      <c r="AH1346" s="627"/>
      <c r="AI1346" s="627"/>
      <c r="AJ1346" s="627"/>
      <c r="AK1346" s="627"/>
      <c r="AL1346" s="627"/>
    </row>
    <row r="1347" spans="1:38" ht="11.1" customHeight="1" x14ac:dyDescent="0.25">
      <c r="A1347" s="630" t="s">
        <v>2653</v>
      </c>
      <c r="B1347" s="630"/>
      <c r="C1347" s="630"/>
      <c r="M1347" s="630" t="s">
        <v>1810</v>
      </c>
      <c r="N1347" s="630"/>
      <c r="O1347" s="630"/>
      <c r="P1347" s="630"/>
      <c r="Q1347" s="627">
        <v>116401.84</v>
      </c>
      <c r="R1347" s="627"/>
      <c r="T1347" s="631">
        <v>10920.49</v>
      </c>
      <c r="U1347" s="631"/>
      <c r="V1347" s="631"/>
      <c r="Y1347" s="631">
        <v>0</v>
      </c>
      <c r="Z1347" s="631"/>
      <c r="AA1347" s="631"/>
      <c r="AB1347" s="631"/>
      <c r="AC1347" s="631"/>
      <c r="AD1347" s="631"/>
      <c r="AF1347" s="627">
        <v>127322.33</v>
      </c>
      <c r="AG1347" s="627"/>
      <c r="AH1347" s="627"/>
      <c r="AI1347" s="627"/>
      <c r="AJ1347" s="627"/>
      <c r="AK1347" s="627"/>
      <c r="AL1347" s="627"/>
    </row>
    <row r="1348" spans="1:38" ht="11.1" customHeight="1" x14ac:dyDescent="0.25">
      <c r="A1348" s="630" t="s">
        <v>2654</v>
      </c>
      <c r="B1348" s="630"/>
      <c r="C1348" s="630"/>
      <c r="M1348" s="630" t="s">
        <v>1575</v>
      </c>
      <c r="N1348" s="630"/>
      <c r="O1348" s="630"/>
      <c r="P1348" s="630"/>
      <c r="Q1348" s="627">
        <v>24219.99</v>
      </c>
      <c r="R1348" s="627"/>
      <c r="T1348" s="631">
        <v>2600.88</v>
      </c>
      <c r="U1348" s="631"/>
      <c r="V1348" s="631"/>
      <c r="Y1348" s="631">
        <v>0</v>
      </c>
      <c r="Z1348" s="631"/>
      <c r="AA1348" s="631"/>
      <c r="AB1348" s="631"/>
      <c r="AC1348" s="631"/>
      <c r="AD1348" s="631"/>
      <c r="AF1348" s="627">
        <v>26820.87</v>
      </c>
      <c r="AG1348" s="627"/>
      <c r="AH1348" s="627"/>
      <c r="AI1348" s="627"/>
      <c r="AJ1348" s="627"/>
      <c r="AK1348" s="627"/>
      <c r="AL1348" s="627"/>
    </row>
    <row r="1349" spans="1:38" ht="11.1" customHeight="1" x14ac:dyDescent="0.25">
      <c r="A1349" s="630" t="s">
        <v>2655</v>
      </c>
      <c r="B1349" s="630"/>
      <c r="C1349" s="630"/>
      <c r="M1349" s="630" t="s">
        <v>1577</v>
      </c>
      <c r="N1349" s="630"/>
      <c r="O1349" s="630"/>
      <c r="P1349" s="630"/>
      <c r="Q1349" s="627">
        <v>7138.45</v>
      </c>
      <c r="R1349" s="627"/>
      <c r="T1349" s="631">
        <v>762.13</v>
      </c>
      <c r="U1349" s="631"/>
      <c r="V1349" s="631"/>
      <c r="Y1349" s="631">
        <v>0</v>
      </c>
      <c r="Z1349" s="631"/>
      <c r="AA1349" s="631"/>
      <c r="AB1349" s="631"/>
      <c r="AC1349" s="631"/>
      <c r="AD1349" s="631"/>
      <c r="AF1349" s="627">
        <v>7900.58</v>
      </c>
      <c r="AG1349" s="627"/>
      <c r="AH1349" s="627"/>
      <c r="AI1349" s="627"/>
      <c r="AJ1349" s="627"/>
      <c r="AK1349" s="627"/>
      <c r="AL1349" s="627"/>
    </row>
    <row r="1350" spans="1:38" ht="11.1" customHeight="1" x14ac:dyDescent="0.25">
      <c r="A1350" s="630" t="s">
        <v>2656</v>
      </c>
      <c r="B1350" s="630"/>
      <c r="C1350" s="630"/>
      <c r="M1350" s="630" t="s">
        <v>1579</v>
      </c>
      <c r="N1350" s="630"/>
      <c r="O1350" s="630"/>
      <c r="P1350" s="630"/>
      <c r="Q1350" s="627">
        <v>85457.24</v>
      </c>
      <c r="R1350" s="627"/>
      <c r="T1350" s="631">
        <v>9137.7000000000007</v>
      </c>
      <c r="U1350" s="631"/>
      <c r="V1350" s="631"/>
      <c r="Y1350" s="631">
        <v>334.95</v>
      </c>
      <c r="Z1350" s="631"/>
      <c r="AA1350" s="631"/>
      <c r="AB1350" s="631"/>
      <c r="AC1350" s="631"/>
      <c r="AD1350" s="631"/>
      <c r="AF1350" s="627">
        <v>94259.99</v>
      </c>
      <c r="AG1350" s="627"/>
      <c r="AH1350" s="627"/>
      <c r="AI1350" s="627"/>
      <c r="AJ1350" s="627"/>
      <c r="AK1350" s="627"/>
      <c r="AL1350" s="627"/>
    </row>
    <row r="1351" spans="1:38" ht="11.1" customHeight="1" x14ac:dyDescent="0.25">
      <c r="A1351" s="630" t="s">
        <v>2657</v>
      </c>
      <c r="B1351" s="630"/>
      <c r="C1351" s="630"/>
      <c r="M1351" s="630" t="s">
        <v>1581</v>
      </c>
      <c r="N1351" s="630"/>
      <c r="O1351" s="630"/>
      <c r="P1351" s="630"/>
      <c r="Q1351" s="627">
        <v>23329.81</v>
      </c>
      <c r="R1351" s="627"/>
      <c r="T1351" s="631">
        <v>2494.58</v>
      </c>
      <c r="U1351" s="631"/>
      <c r="V1351" s="631"/>
      <c r="Y1351" s="631">
        <v>0</v>
      </c>
      <c r="Z1351" s="631"/>
      <c r="AA1351" s="631"/>
      <c r="AB1351" s="631"/>
      <c r="AC1351" s="631"/>
      <c r="AD1351" s="631"/>
      <c r="AF1351" s="627">
        <v>25824.39</v>
      </c>
      <c r="AG1351" s="627"/>
      <c r="AH1351" s="627"/>
      <c r="AI1351" s="627"/>
      <c r="AJ1351" s="627"/>
      <c r="AK1351" s="627"/>
      <c r="AL1351" s="627"/>
    </row>
    <row r="1352" spans="1:38" ht="11.1" customHeight="1" x14ac:dyDescent="0.25">
      <c r="A1352" s="630" t="s">
        <v>2658</v>
      </c>
      <c r="B1352" s="630"/>
      <c r="C1352" s="630"/>
      <c r="M1352" s="630" t="s">
        <v>1583</v>
      </c>
      <c r="N1352" s="630"/>
      <c r="O1352" s="630"/>
      <c r="P1352" s="630"/>
      <c r="Q1352" s="627">
        <v>7198.91</v>
      </c>
      <c r="R1352" s="627"/>
      <c r="T1352" s="631">
        <v>730.96</v>
      </c>
      <c r="U1352" s="631"/>
      <c r="V1352" s="631"/>
      <c r="Y1352" s="631">
        <v>0.05</v>
      </c>
      <c r="Z1352" s="631"/>
      <c r="AA1352" s="631"/>
      <c r="AB1352" s="631"/>
      <c r="AC1352" s="631"/>
      <c r="AD1352" s="631"/>
      <c r="AF1352" s="627">
        <v>7929.82</v>
      </c>
      <c r="AG1352" s="627"/>
      <c r="AH1352" s="627"/>
      <c r="AI1352" s="627"/>
      <c r="AJ1352" s="627"/>
      <c r="AK1352" s="627"/>
      <c r="AL1352" s="627"/>
    </row>
    <row r="1353" spans="1:38" ht="11.1" customHeight="1" x14ac:dyDescent="0.25">
      <c r="A1353" s="630" t="s">
        <v>2659</v>
      </c>
      <c r="B1353" s="630"/>
      <c r="C1353" s="630"/>
      <c r="M1353" s="630" t="s">
        <v>1585</v>
      </c>
      <c r="N1353" s="630"/>
      <c r="O1353" s="630"/>
      <c r="P1353" s="630"/>
      <c r="Q1353" s="627">
        <v>120387.95</v>
      </c>
      <c r="R1353" s="627"/>
      <c r="T1353" s="631">
        <v>8806.61</v>
      </c>
      <c r="U1353" s="631"/>
      <c r="V1353" s="631"/>
      <c r="Y1353" s="631">
        <v>0</v>
      </c>
      <c r="Z1353" s="631"/>
      <c r="AA1353" s="631"/>
      <c r="AB1353" s="631"/>
      <c r="AC1353" s="631"/>
      <c r="AD1353" s="631"/>
      <c r="AF1353" s="627">
        <v>129194.56</v>
      </c>
      <c r="AG1353" s="627"/>
      <c r="AH1353" s="627"/>
      <c r="AI1353" s="627"/>
      <c r="AJ1353" s="627"/>
      <c r="AK1353" s="627"/>
      <c r="AL1353" s="627"/>
    </row>
    <row r="1354" spans="1:38" ht="11.1" customHeight="1" x14ac:dyDescent="0.25">
      <c r="A1354" s="630" t="s">
        <v>2660</v>
      </c>
      <c r="B1354" s="630"/>
      <c r="C1354" s="630"/>
      <c r="M1354" s="630" t="s">
        <v>1587</v>
      </c>
      <c r="N1354" s="630"/>
      <c r="O1354" s="630"/>
      <c r="P1354" s="630"/>
      <c r="Q1354" s="627">
        <v>6035.9</v>
      </c>
      <c r="R1354" s="627"/>
      <c r="T1354" s="631">
        <v>190.33</v>
      </c>
      <c r="U1354" s="631"/>
      <c r="V1354" s="631"/>
      <c r="Y1354" s="631">
        <v>0</v>
      </c>
      <c r="Z1354" s="631"/>
      <c r="AA1354" s="631"/>
      <c r="AB1354" s="631"/>
      <c r="AC1354" s="631"/>
      <c r="AD1354" s="631"/>
      <c r="AF1354" s="627">
        <v>6226.23</v>
      </c>
      <c r="AG1354" s="627"/>
      <c r="AH1354" s="627"/>
      <c r="AI1354" s="627"/>
      <c r="AJ1354" s="627"/>
      <c r="AK1354" s="627"/>
      <c r="AL1354" s="627"/>
    </row>
    <row r="1355" spans="1:38" ht="11.1" customHeight="1" x14ac:dyDescent="0.25">
      <c r="A1355" s="630" t="s">
        <v>2661</v>
      </c>
      <c r="B1355" s="630"/>
      <c r="C1355" s="630"/>
      <c r="M1355" s="630" t="s">
        <v>1589</v>
      </c>
      <c r="N1355" s="630"/>
      <c r="O1355" s="630"/>
      <c r="P1355" s="630"/>
      <c r="Q1355" s="627">
        <v>344.54</v>
      </c>
      <c r="R1355" s="627"/>
      <c r="T1355" s="631">
        <v>0</v>
      </c>
      <c r="U1355" s="631"/>
      <c r="V1355" s="631"/>
      <c r="Y1355" s="631">
        <v>0</v>
      </c>
      <c r="Z1355" s="631"/>
      <c r="AA1355" s="631"/>
      <c r="AB1355" s="631"/>
      <c r="AC1355" s="631"/>
      <c r="AD1355" s="631"/>
      <c r="AF1355" s="627">
        <v>344.54</v>
      </c>
      <c r="AG1355" s="627"/>
      <c r="AH1355" s="627"/>
      <c r="AI1355" s="627"/>
      <c r="AJ1355" s="627"/>
      <c r="AK1355" s="627"/>
      <c r="AL1355" s="627"/>
    </row>
    <row r="1356" spans="1:38" ht="11.1" customHeight="1" x14ac:dyDescent="0.25">
      <c r="A1356" s="630" t="s">
        <v>2662</v>
      </c>
      <c r="B1356" s="630"/>
      <c r="C1356" s="630"/>
      <c r="M1356" s="630" t="s">
        <v>1820</v>
      </c>
      <c r="N1356" s="630"/>
      <c r="O1356" s="630"/>
      <c r="P1356" s="630"/>
      <c r="Q1356" s="627">
        <v>-100891.47</v>
      </c>
      <c r="R1356" s="627"/>
      <c r="T1356" s="631">
        <v>0</v>
      </c>
      <c r="U1356" s="631"/>
      <c r="V1356" s="631"/>
      <c r="Y1356" s="631">
        <v>520.72</v>
      </c>
      <c r="Z1356" s="631"/>
      <c r="AA1356" s="631"/>
      <c r="AB1356" s="631"/>
      <c r="AC1356" s="631"/>
      <c r="AD1356" s="631"/>
      <c r="AF1356" s="627">
        <v>-101412.19</v>
      </c>
      <c r="AG1356" s="627"/>
      <c r="AH1356" s="627"/>
      <c r="AI1356" s="627"/>
      <c r="AJ1356" s="627"/>
      <c r="AK1356" s="627"/>
      <c r="AL1356" s="627"/>
    </row>
    <row r="1357" spans="1:38" ht="11.1" customHeight="1" x14ac:dyDescent="0.25">
      <c r="A1357" s="630" t="s">
        <v>4615</v>
      </c>
      <c r="B1357" s="630"/>
      <c r="C1357" s="630"/>
      <c r="K1357" s="630" t="s">
        <v>1610</v>
      </c>
      <c r="L1357" s="630"/>
      <c r="M1357" s="630"/>
      <c r="N1357" s="630"/>
      <c r="O1357" s="630"/>
      <c r="P1357" s="630"/>
      <c r="Q1357" s="627">
        <v>436199.79</v>
      </c>
      <c r="R1357" s="627"/>
      <c r="T1357" s="631">
        <v>36898.51</v>
      </c>
      <c r="U1357" s="631"/>
      <c r="V1357" s="631"/>
      <c r="Y1357" s="631">
        <v>285.14</v>
      </c>
      <c r="Z1357" s="631"/>
      <c r="AA1357" s="631"/>
      <c r="AB1357" s="631"/>
      <c r="AC1357" s="631"/>
      <c r="AD1357" s="631"/>
      <c r="AF1357" s="627">
        <v>472813.16</v>
      </c>
      <c r="AG1357" s="627"/>
      <c r="AH1357" s="627"/>
      <c r="AI1357" s="627"/>
      <c r="AJ1357" s="627"/>
      <c r="AK1357" s="627"/>
      <c r="AL1357" s="627"/>
    </row>
    <row r="1358" spans="1:38" ht="11.1" customHeight="1" x14ac:dyDescent="0.25">
      <c r="A1358" s="630" t="s">
        <v>4616</v>
      </c>
      <c r="B1358" s="630"/>
      <c r="C1358" s="630"/>
      <c r="L1358" s="630" t="s">
        <v>2294</v>
      </c>
      <c r="M1358" s="630"/>
      <c r="N1358" s="630"/>
      <c r="O1358" s="630"/>
      <c r="P1358" s="630"/>
      <c r="Q1358" s="627">
        <v>115860.94</v>
      </c>
      <c r="R1358" s="627"/>
      <c r="T1358" s="631">
        <v>9540.3799999999992</v>
      </c>
      <c r="U1358" s="631"/>
      <c r="V1358" s="631"/>
      <c r="Y1358" s="631">
        <v>0</v>
      </c>
      <c r="Z1358" s="631"/>
      <c r="AA1358" s="631"/>
      <c r="AB1358" s="631"/>
      <c r="AC1358" s="631"/>
      <c r="AD1358" s="631"/>
      <c r="AF1358" s="627">
        <v>125401.32</v>
      </c>
      <c r="AG1358" s="627"/>
      <c r="AH1358" s="627"/>
      <c r="AI1358" s="627"/>
      <c r="AJ1358" s="627"/>
      <c r="AK1358" s="627"/>
      <c r="AL1358" s="627"/>
    </row>
    <row r="1359" spans="1:38" ht="11.1" customHeight="1" x14ac:dyDescent="0.25">
      <c r="A1359" s="630" t="s">
        <v>2663</v>
      </c>
      <c r="B1359" s="630"/>
      <c r="C1359" s="630"/>
      <c r="M1359" s="630" t="s">
        <v>1090</v>
      </c>
      <c r="N1359" s="630"/>
      <c r="O1359" s="630"/>
      <c r="P1359" s="630"/>
      <c r="Q1359" s="627">
        <v>89347.43</v>
      </c>
      <c r="R1359" s="627"/>
      <c r="T1359" s="631">
        <v>7378.27</v>
      </c>
      <c r="U1359" s="631"/>
      <c r="V1359" s="631"/>
      <c r="Y1359" s="631">
        <v>0</v>
      </c>
      <c r="Z1359" s="631"/>
      <c r="AA1359" s="631"/>
      <c r="AB1359" s="631"/>
      <c r="AC1359" s="631"/>
      <c r="AD1359" s="631"/>
      <c r="AF1359" s="627">
        <v>96725.7</v>
      </c>
      <c r="AG1359" s="627"/>
      <c r="AH1359" s="627"/>
      <c r="AI1359" s="627"/>
      <c r="AJ1359" s="627"/>
      <c r="AK1359" s="627"/>
      <c r="AL1359" s="627"/>
    </row>
    <row r="1360" spans="1:38" ht="11.1" customHeight="1" x14ac:dyDescent="0.25">
      <c r="A1360" s="630" t="s">
        <v>2664</v>
      </c>
      <c r="B1360" s="630"/>
      <c r="C1360" s="630"/>
      <c r="M1360" s="630" t="s">
        <v>1092</v>
      </c>
      <c r="N1360" s="630"/>
      <c r="O1360" s="630"/>
      <c r="P1360" s="630"/>
      <c r="Q1360" s="627">
        <v>26513.51</v>
      </c>
      <c r="R1360" s="627"/>
      <c r="T1360" s="631">
        <v>2162.11</v>
      </c>
      <c r="U1360" s="631"/>
      <c r="V1360" s="631"/>
      <c r="Y1360" s="631">
        <v>0</v>
      </c>
      <c r="Z1360" s="631"/>
      <c r="AA1360" s="631"/>
      <c r="AB1360" s="631"/>
      <c r="AC1360" s="631"/>
      <c r="AD1360" s="631"/>
      <c r="AF1360" s="627">
        <v>28675.62</v>
      </c>
      <c r="AG1360" s="627"/>
      <c r="AH1360" s="627"/>
      <c r="AI1360" s="627"/>
      <c r="AJ1360" s="627"/>
      <c r="AK1360" s="627"/>
      <c r="AL1360" s="627"/>
    </row>
    <row r="1361" spans="1:38" ht="11.1" customHeight="1" x14ac:dyDescent="0.25">
      <c r="A1361" s="630" t="s">
        <v>4617</v>
      </c>
      <c r="B1361" s="630"/>
      <c r="C1361" s="630"/>
      <c r="L1361" s="630" t="s">
        <v>335</v>
      </c>
      <c r="M1361" s="630"/>
      <c r="N1361" s="630"/>
      <c r="O1361" s="630"/>
      <c r="P1361" s="630"/>
      <c r="Q1361" s="627">
        <v>320338.84999999998</v>
      </c>
      <c r="R1361" s="627"/>
      <c r="T1361" s="631">
        <v>27358.13</v>
      </c>
      <c r="U1361" s="631"/>
      <c r="V1361" s="631"/>
      <c r="Y1361" s="631">
        <v>285.14</v>
      </c>
      <c r="Z1361" s="631"/>
      <c r="AA1361" s="631"/>
      <c r="AB1361" s="631"/>
      <c r="AC1361" s="631"/>
      <c r="AD1361" s="631"/>
      <c r="AF1361" s="627">
        <v>347411.84</v>
      </c>
      <c r="AG1361" s="627"/>
      <c r="AH1361" s="627"/>
      <c r="AI1361" s="627"/>
      <c r="AJ1361" s="627"/>
      <c r="AK1361" s="627"/>
      <c r="AL1361" s="627"/>
    </row>
    <row r="1362" spans="1:38" ht="11.1" customHeight="1" x14ac:dyDescent="0.25">
      <c r="A1362" s="630" t="s">
        <v>2665</v>
      </c>
      <c r="B1362" s="630"/>
      <c r="C1362" s="630"/>
      <c r="M1362" s="630" t="s">
        <v>1090</v>
      </c>
      <c r="N1362" s="630"/>
      <c r="O1362" s="630"/>
      <c r="P1362" s="630"/>
      <c r="Q1362" s="627">
        <v>263714.24</v>
      </c>
      <c r="R1362" s="627"/>
      <c r="T1362" s="631">
        <v>21158.03</v>
      </c>
      <c r="U1362" s="631"/>
      <c r="V1362" s="631"/>
      <c r="Y1362" s="631">
        <v>0</v>
      </c>
      <c r="Z1362" s="631"/>
      <c r="AA1362" s="631"/>
      <c r="AB1362" s="631"/>
      <c r="AC1362" s="631"/>
      <c r="AD1362" s="631"/>
      <c r="AF1362" s="627">
        <v>284872.27</v>
      </c>
      <c r="AG1362" s="627"/>
      <c r="AH1362" s="627"/>
      <c r="AI1362" s="627"/>
      <c r="AJ1362" s="627"/>
      <c r="AK1362" s="627"/>
      <c r="AL1362" s="627"/>
    </row>
    <row r="1363" spans="1:38" ht="11.1" customHeight="1" x14ac:dyDescent="0.25">
      <c r="A1363" s="630" t="s">
        <v>2666</v>
      </c>
      <c r="B1363" s="630"/>
      <c r="C1363" s="630"/>
      <c r="M1363" s="630" t="s">
        <v>1092</v>
      </c>
      <c r="N1363" s="630"/>
      <c r="O1363" s="630"/>
      <c r="P1363" s="630"/>
      <c r="Q1363" s="627">
        <v>121744.22</v>
      </c>
      <c r="R1363" s="627"/>
      <c r="T1363" s="631">
        <v>6200.1</v>
      </c>
      <c r="U1363" s="631"/>
      <c r="V1363" s="631"/>
      <c r="Y1363" s="631">
        <v>0</v>
      </c>
      <c r="Z1363" s="631"/>
      <c r="AA1363" s="631"/>
      <c r="AB1363" s="631"/>
      <c r="AC1363" s="631"/>
      <c r="AD1363" s="631"/>
      <c r="AF1363" s="627">
        <v>127944.32000000001</v>
      </c>
      <c r="AG1363" s="627"/>
      <c r="AH1363" s="627"/>
      <c r="AI1363" s="627"/>
      <c r="AJ1363" s="627"/>
      <c r="AK1363" s="627"/>
      <c r="AL1363" s="627"/>
    </row>
    <row r="1364" spans="1:38" ht="11.1" customHeight="1" x14ac:dyDescent="0.25">
      <c r="A1364" s="630" t="s">
        <v>2667</v>
      </c>
      <c r="B1364" s="630"/>
      <c r="C1364" s="630"/>
      <c r="M1364" s="630" t="s">
        <v>1820</v>
      </c>
      <c r="N1364" s="630"/>
      <c r="O1364" s="630"/>
      <c r="P1364" s="630"/>
      <c r="Q1364" s="627">
        <v>-65119.61</v>
      </c>
      <c r="R1364" s="627"/>
      <c r="T1364" s="631">
        <v>0</v>
      </c>
      <c r="U1364" s="631"/>
      <c r="V1364" s="631"/>
      <c r="Y1364" s="631">
        <v>285.14</v>
      </c>
      <c r="Z1364" s="631"/>
      <c r="AA1364" s="631"/>
      <c r="AB1364" s="631"/>
      <c r="AC1364" s="631"/>
      <c r="AD1364" s="631"/>
      <c r="AF1364" s="627">
        <v>-65404.75</v>
      </c>
      <c r="AG1364" s="627"/>
      <c r="AH1364" s="627"/>
      <c r="AI1364" s="627"/>
      <c r="AJ1364" s="627"/>
      <c r="AK1364" s="627"/>
      <c r="AL1364" s="627"/>
    </row>
    <row r="1365" spans="1:38" ht="11.1" customHeight="1" x14ac:dyDescent="0.25">
      <c r="A1365" s="630" t="s">
        <v>4618</v>
      </c>
      <c r="B1365" s="630"/>
      <c r="C1365" s="630"/>
      <c r="K1365" s="630" t="s">
        <v>1620</v>
      </c>
      <c r="L1365" s="630"/>
      <c r="M1365" s="630"/>
      <c r="N1365" s="630"/>
      <c r="O1365" s="630"/>
      <c r="P1365" s="630"/>
      <c r="Q1365" s="627">
        <v>145881.17000000001</v>
      </c>
      <c r="R1365" s="627"/>
      <c r="T1365" s="631">
        <v>13831.21</v>
      </c>
      <c r="U1365" s="631"/>
      <c r="V1365" s="631"/>
      <c r="Y1365" s="631">
        <v>0</v>
      </c>
      <c r="Z1365" s="631"/>
      <c r="AA1365" s="631"/>
      <c r="AB1365" s="631"/>
      <c r="AC1365" s="631"/>
      <c r="AD1365" s="631"/>
      <c r="AF1365" s="627">
        <v>159712.38</v>
      </c>
      <c r="AG1365" s="627"/>
      <c r="AH1365" s="627"/>
      <c r="AI1365" s="627"/>
      <c r="AJ1365" s="627"/>
      <c r="AK1365" s="627"/>
      <c r="AL1365" s="627"/>
    </row>
    <row r="1366" spans="1:38" ht="11.1" customHeight="1" x14ac:dyDescent="0.25">
      <c r="A1366" s="630" t="s">
        <v>4619</v>
      </c>
      <c r="B1366" s="630"/>
      <c r="C1366" s="630"/>
      <c r="L1366" s="630" t="s">
        <v>2294</v>
      </c>
      <c r="M1366" s="630"/>
      <c r="N1366" s="630"/>
      <c r="O1366" s="630"/>
      <c r="P1366" s="630"/>
      <c r="Q1366" s="627">
        <v>29128.59</v>
      </c>
      <c r="R1366" s="627"/>
      <c r="T1366" s="631">
        <v>2698.45</v>
      </c>
      <c r="U1366" s="631"/>
      <c r="V1366" s="631"/>
      <c r="Y1366" s="631">
        <v>0</v>
      </c>
      <c r="Z1366" s="631"/>
      <c r="AA1366" s="631"/>
      <c r="AB1366" s="631"/>
      <c r="AC1366" s="631"/>
      <c r="AD1366" s="631"/>
      <c r="AF1366" s="627">
        <v>31827.040000000001</v>
      </c>
      <c r="AG1366" s="627"/>
      <c r="AH1366" s="627"/>
      <c r="AI1366" s="627"/>
      <c r="AJ1366" s="627"/>
      <c r="AK1366" s="627"/>
      <c r="AL1366" s="627"/>
    </row>
    <row r="1367" spans="1:38" ht="11.1" customHeight="1" x14ac:dyDescent="0.25">
      <c r="A1367" s="630" t="s">
        <v>2668</v>
      </c>
      <c r="B1367" s="630"/>
      <c r="C1367" s="630"/>
      <c r="M1367" s="630" t="s">
        <v>1624</v>
      </c>
      <c r="N1367" s="630"/>
      <c r="O1367" s="630"/>
      <c r="P1367" s="630"/>
      <c r="Q1367" s="627">
        <v>29128.59</v>
      </c>
      <c r="R1367" s="627"/>
      <c r="T1367" s="631">
        <v>2698.45</v>
      </c>
      <c r="U1367" s="631"/>
      <c r="V1367" s="631"/>
      <c r="Y1367" s="631">
        <v>0</v>
      </c>
      <c r="Z1367" s="631"/>
      <c r="AA1367" s="631"/>
      <c r="AB1367" s="631"/>
      <c r="AC1367" s="631"/>
      <c r="AD1367" s="631"/>
      <c r="AF1367" s="627">
        <v>31827.040000000001</v>
      </c>
      <c r="AG1367" s="627"/>
      <c r="AH1367" s="627"/>
      <c r="AI1367" s="627"/>
      <c r="AJ1367" s="627"/>
      <c r="AK1367" s="627"/>
      <c r="AL1367" s="627"/>
    </row>
    <row r="1368" spans="1:38" ht="11.1" customHeight="1" x14ac:dyDescent="0.25">
      <c r="A1368" s="630" t="s">
        <v>4620</v>
      </c>
      <c r="B1368" s="630"/>
      <c r="C1368" s="630"/>
      <c r="L1368" s="630" t="s">
        <v>335</v>
      </c>
      <c r="M1368" s="630"/>
      <c r="N1368" s="630"/>
      <c r="O1368" s="630"/>
      <c r="P1368" s="630"/>
      <c r="Q1368" s="627">
        <v>116752.58</v>
      </c>
      <c r="R1368" s="627"/>
      <c r="T1368" s="631">
        <v>11132.76</v>
      </c>
      <c r="U1368" s="631"/>
      <c r="V1368" s="631"/>
      <c r="Y1368" s="631">
        <v>0</v>
      </c>
      <c r="Z1368" s="631"/>
      <c r="AA1368" s="631"/>
      <c r="AB1368" s="631"/>
      <c r="AC1368" s="631"/>
      <c r="AD1368" s="631"/>
      <c r="AF1368" s="627">
        <v>127885.34</v>
      </c>
      <c r="AG1368" s="627"/>
      <c r="AH1368" s="627"/>
      <c r="AI1368" s="627"/>
      <c r="AJ1368" s="627"/>
      <c r="AK1368" s="627"/>
      <c r="AL1368" s="627"/>
    </row>
    <row r="1369" spans="1:38" ht="11.1" customHeight="1" x14ac:dyDescent="0.25">
      <c r="A1369" s="630" t="s">
        <v>2669</v>
      </c>
      <c r="B1369" s="630"/>
      <c r="C1369" s="630"/>
      <c r="M1369" s="630" t="s">
        <v>1624</v>
      </c>
      <c r="N1369" s="630"/>
      <c r="O1369" s="630"/>
      <c r="P1369" s="630"/>
      <c r="Q1369" s="627">
        <v>116752.58</v>
      </c>
      <c r="R1369" s="627"/>
      <c r="T1369" s="631">
        <v>11132.76</v>
      </c>
      <c r="U1369" s="631"/>
      <c r="V1369" s="631"/>
      <c r="Y1369" s="631">
        <v>0</v>
      </c>
      <c r="Z1369" s="631"/>
      <c r="AA1369" s="631"/>
      <c r="AB1369" s="631"/>
      <c r="AC1369" s="631"/>
      <c r="AD1369" s="631"/>
      <c r="AF1369" s="627">
        <v>127885.34</v>
      </c>
      <c r="AG1369" s="627"/>
      <c r="AH1369" s="627"/>
      <c r="AI1369" s="627"/>
      <c r="AJ1369" s="627"/>
      <c r="AK1369" s="627"/>
      <c r="AL1369" s="627"/>
    </row>
    <row r="1370" spans="1:38" ht="11.1" customHeight="1" x14ac:dyDescent="0.25">
      <c r="A1370" s="630" t="s">
        <v>4621</v>
      </c>
      <c r="B1370" s="630"/>
      <c r="C1370" s="630"/>
      <c r="K1370" s="630" t="s">
        <v>2955</v>
      </c>
      <c r="L1370" s="630"/>
      <c r="M1370" s="630"/>
      <c r="N1370" s="630"/>
      <c r="O1370" s="630"/>
      <c r="P1370" s="630"/>
      <c r="Q1370" s="627">
        <v>122718.6</v>
      </c>
      <c r="R1370" s="627"/>
      <c r="T1370" s="631">
        <v>0</v>
      </c>
      <c r="U1370" s="631"/>
      <c r="V1370" s="631"/>
      <c r="Y1370" s="631">
        <v>0</v>
      </c>
      <c r="Z1370" s="631"/>
      <c r="AA1370" s="631"/>
      <c r="AB1370" s="631"/>
      <c r="AC1370" s="631"/>
      <c r="AD1370" s="631"/>
      <c r="AF1370" s="627">
        <v>122718.6</v>
      </c>
      <c r="AG1370" s="627"/>
      <c r="AH1370" s="627"/>
      <c r="AI1370" s="627"/>
      <c r="AJ1370" s="627"/>
      <c r="AK1370" s="627"/>
      <c r="AL1370" s="627"/>
    </row>
    <row r="1371" spans="1:38" ht="11.1" customHeight="1" x14ac:dyDescent="0.25">
      <c r="A1371" s="630" t="s">
        <v>4622</v>
      </c>
      <c r="B1371" s="630"/>
      <c r="C1371" s="630"/>
      <c r="L1371" s="630" t="s">
        <v>335</v>
      </c>
      <c r="M1371" s="630"/>
      <c r="N1371" s="630"/>
      <c r="O1371" s="630"/>
      <c r="P1371" s="630"/>
      <c r="Q1371" s="627">
        <v>122718.6</v>
      </c>
      <c r="R1371" s="627"/>
      <c r="T1371" s="631">
        <v>0</v>
      </c>
      <c r="U1371" s="631"/>
      <c r="V1371" s="631"/>
      <c r="Y1371" s="631">
        <v>0</v>
      </c>
      <c r="Z1371" s="631"/>
      <c r="AA1371" s="631"/>
      <c r="AB1371" s="631"/>
      <c r="AC1371" s="631"/>
      <c r="AD1371" s="631"/>
      <c r="AF1371" s="627">
        <v>122718.6</v>
      </c>
      <c r="AG1371" s="627"/>
      <c r="AH1371" s="627"/>
      <c r="AI1371" s="627"/>
      <c r="AJ1371" s="627"/>
      <c r="AK1371" s="627"/>
      <c r="AL1371" s="627"/>
    </row>
    <row r="1372" spans="1:38" ht="11.1" customHeight="1" x14ac:dyDescent="0.25">
      <c r="A1372" s="630" t="s">
        <v>3069</v>
      </c>
      <c r="B1372" s="630"/>
      <c r="C1372" s="630"/>
      <c r="M1372" s="630" t="s">
        <v>2968</v>
      </c>
      <c r="N1372" s="630"/>
      <c r="O1372" s="630"/>
      <c r="P1372" s="630"/>
      <c r="Q1372" s="627">
        <v>122718.6</v>
      </c>
      <c r="R1372" s="627"/>
      <c r="T1372" s="631">
        <v>0</v>
      </c>
      <c r="U1372" s="631"/>
      <c r="V1372" s="631"/>
      <c r="Y1372" s="631">
        <v>0</v>
      </c>
      <c r="Z1372" s="631"/>
      <c r="AA1372" s="631"/>
      <c r="AB1372" s="631"/>
      <c r="AC1372" s="631"/>
      <c r="AD1372" s="631"/>
      <c r="AF1372" s="627">
        <v>122718.6</v>
      </c>
      <c r="AG1372" s="627"/>
      <c r="AH1372" s="627"/>
      <c r="AI1372" s="627"/>
      <c r="AJ1372" s="627"/>
      <c r="AK1372" s="627"/>
      <c r="AL1372" s="627"/>
    </row>
    <row r="1373" spans="1:38" ht="11.1" customHeight="1" x14ac:dyDescent="0.25">
      <c r="A1373" s="630" t="s">
        <v>4623</v>
      </c>
      <c r="B1373" s="630"/>
      <c r="C1373" s="630"/>
      <c r="K1373" s="630" t="s">
        <v>1630</v>
      </c>
      <c r="L1373" s="630"/>
      <c r="M1373" s="630"/>
      <c r="N1373" s="630"/>
      <c r="O1373" s="630"/>
      <c r="P1373" s="630"/>
      <c r="Q1373" s="627">
        <v>148788.79999999999</v>
      </c>
      <c r="R1373" s="627"/>
      <c r="T1373" s="631">
        <v>0</v>
      </c>
      <c r="U1373" s="631"/>
      <c r="V1373" s="631"/>
      <c r="Y1373" s="631">
        <v>0</v>
      </c>
      <c r="Z1373" s="631"/>
      <c r="AA1373" s="631"/>
      <c r="AB1373" s="631"/>
      <c r="AC1373" s="631"/>
      <c r="AD1373" s="631"/>
      <c r="AF1373" s="627">
        <v>148788.79999999999</v>
      </c>
      <c r="AG1373" s="627"/>
      <c r="AH1373" s="627"/>
      <c r="AI1373" s="627"/>
      <c r="AJ1373" s="627"/>
      <c r="AK1373" s="627"/>
      <c r="AL1373" s="627"/>
    </row>
    <row r="1374" spans="1:38" ht="11.1" customHeight="1" x14ac:dyDescent="0.25">
      <c r="A1374" s="630" t="s">
        <v>2670</v>
      </c>
      <c r="B1374" s="630"/>
      <c r="C1374" s="630"/>
      <c r="M1374" s="630" t="s">
        <v>1633</v>
      </c>
      <c r="N1374" s="630"/>
      <c r="O1374" s="630"/>
      <c r="P1374" s="630"/>
      <c r="Q1374" s="627">
        <v>36247.54</v>
      </c>
      <c r="R1374" s="627"/>
      <c r="T1374" s="631">
        <v>0</v>
      </c>
      <c r="U1374" s="631"/>
      <c r="V1374" s="631"/>
      <c r="Y1374" s="631">
        <v>0</v>
      </c>
      <c r="Z1374" s="631"/>
      <c r="AA1374" s="631"/>
      <c r="AB1374" s="631"/>
      <c r="AC1374" s="631"/>
      <c r="AD1374" s="631"/>
      <c r="AF1374" s="627">
        <v>36247.54</v>
      </c>
      <c r="AG1374" s="627"/>
      <c r="AH1374" s="627"/>
      <c r="AI1374" s="627"/>
      <c r="AJ1374" s="627"/>
      <c r="AK1374" s="627"/>
      <c r="AL1374" s="627"/>
    </row>
    <row r="1375" spans="1:38" ht="11.1" customHeight="1" x14ac:dyDescent="0.25">
      <c r="A1375" s="630" t="s">
        <v>4624</v>
      </c>
      <c r="B1375" s="630"/>
      <c r="C1375" s="630"/>
      <c r="L1375" s="630" t="s">
        <v>1633</v>
      </c>
      <c r="M1375" s="630"/>
      <c r="N1375" s="630"/>
      <c r="O1375" s="630"/>
      <c r="P1375" s="630"/>
      <c r="Q1375" s="627">
        <v>112541.26</v>
      </c>
      <c r="R1375" s="627"/>
      <c r="T1375" s="631">
        <v>0</v>
      </c>
      <c r="U1375" s="631"/>
      <c r="V1375" s="631"/>
      <c r="Y1375" s="631">
        <v>0</v>
      </c>
      <c r="Z1375" s="631"/>
      <c r="AA1375" s="631"/>
      <c r="AB1375" s="631"/>
      <c r="AC1375" s="631"/>
      <c r="AD1375" s="631"/>
      <c r="AF1375" s="627">
        <v>112541.26</v>
      </c>
      <c r="AG1375" s="627"/>
      <c r="AH1375" s="627"/>
      <c r="AI1375" s="627"/>
      <c r="AJ1375" s="627"/>
      <c r="AK1375" s="627"/>
      <c r="AL1375" s="627"/>
    </row>
    <row r="1376" spans="1:38" ht="11.1" customHeight="1" x14ac:dyDescent="0.25">
      <c r="A1376" s="630" t="s">
        <v>2671</v>
      </c>
      <c r="B1376" s="630"/>
      <c r="C1376" s="630"/>
      <c r="M1376" s="630" t="s">
        <v>1630</v>
      </c>
      <c r="N1376" s="630"/>
      <c r="O1376" s="630"/>
      <c r="P1376" s="630"/>
      <c r="Q1376" s="627">
        <v>112541.26</v>
      </c>
      <c r="R1376" s="627"/>
      <c r="T1376" s="631">
        <v>0</v>
      </c>
      <c r="U1376" s="631"/>
      <c r="V1376" s="631"/>
      <c r="Y1376" s="631">
        <v>0</v>
      </c>
      <c r="Z1376" s="631"/>
      <c r="AA1376" s="631"/>
      <c r="AB1376" s="631"/>
      <c r="AC1376" s="631"/>
      <c r="AD1376" s="631"/>
      <c r="AF1376" s="627">
        <v>112541.26</v>
      </c>
      <c r="AG1376" s="627"/>
      <c r="AH1376" s="627"/>
      <c r="AI1376" s="627"/>
      <c r="AJ1376" s="627"/>
      <c r="AK1376" s="627"/>
      <c r="AL1376" s="627"/>
    </row>
    <row r="1377" spans="1:38" ht="11.1" customHeight="1" x14ac:dyDescent="0.25">
      <c r="A1377" s="630" t="s">
        <v>4625</v>
      </c>
      <c r="B1377" s="630"/>
      <c r="C1377" s="630"/>
      <c r="K1377" s="630" t="s">
        <v>1640</v>
      </c>
      <c r="L1377" s="630"/>
      <c r="M1377" s="630"/>
      <c r="N1377" s="630"/>
      <c r="O1377" s="630"/>
      <c r="P1377" s="630"/>
      <c r="Q1377" s="627">
        <v>301209.28000000003</v>
      </c>
      <c r="R1377" s="627"/>
      <c r="T1377" s="631">
        <v>49231.12</v>
      </c>
      <c r="U1377" s="631"/>
      <c r="V1377" s="631"/>
      <c r="Y1377" s="631">
        <v>52.22</v>
      </c>
      <c r="Z1377" s="631"/>
      <c r="AA1377" s="631"/>
      <c r="AB1377" s="631"/>
      <c r="AC1377" s="631"/>
      <c r="AD1377" s="631"/>
      <c r="AF1377" s="627">
        <v>350388.18</v>
      </c>
      <c r="AG1377" s="627"/>
      <c r="AH1377" s="627"/>
      <c r="AI1377" s="627"/>
      <c r="AJ1377" s="627"/>
      <c r="AK1377" s="627"/>
      <c r="AL1377" s="627"/>
    </row>
    <row r="1378" spans="1:38" ht="11.1" customHeight="1" x14ac:dyDescent="0.25">
      <c r="A1378" s="630" t="s">
        <v>4626</v>
      </c>
      <c r="B1378" s="630"/>
      <c r="C1378" s="630"/>
      <c r="L1378" s="630" t="s">
        <v>2294</v>
      </c>
      <c r="M1378" s="630"/>
      <c r="N1378" s="630"/>
      <c r="O1378" s="630"/>
      <c r="P1378" s="630"/>
      <c r="Q1378" s="627">
        <v>56164.43</v>
      </c>
      <c r="R1378" s="627"/>
      <c r="T1378" s="631">
        <v>8317.4500000000007</v>
      </c>
      <c r="U1378" s="631"/>
      <c r="V1378" s="631"/>
      <c r="Y1378" s="631">
        <v>0</v>
      </c>
      <c r="Z1378" s="631"/>
      <c r="AA1378" s="631"/>
      <c r="AB1378" s="631"/>
      <c r="AC1378" s="631"/>
      <c r="AD1378" s="631"/>
      <c r="AF1378" s="627">
        <v>64481.88</v>
      </c>
      <c r="AG1378" s="627"/>
      <c r="AH1378" s="627"/>
      <c r="AI1378" s="627"/>
      <c r="AJ1378" s="627"/>
      <c r="AK1378" s="627"/>
      <c r="AL1378" s="627"/>
    </row>
    <row r="1379" spans="1:38" ht="11.1" customHeight="1" x14ac:dyDescent="0.25">
      <c r="A1379" s="630" t="s">
        <v>2672</v>
      </c>
      <c r="B1379" s="630"/>
      <c r="C1379" s="630"/>
      <c r="M1379" s="630" t="s">
        <v>503</v>
      </c>
      <c r="N1379" s="630"/>
      <c r="O1379" s="630"/>
      <c r="P1379" s="630"/>
      <c r="Q1379" s="627">
        <v>33138.54</v>
      </c>
      <c r="R1379" s="627"/>
      <c r="T1379" s="631">
        <v>2680.05</v>
      </c>
      <c r="U1379" s="631"/>
      <c r="V1379" s="631"/>
      <c r="Y1379" s="631">
        <v>0</v>
      </c>
      <c r="Z1379" s="631"/>
      <c r="AA1379" s="631"/>
      <c r="AB1379" s="631"/>
      <c r="AC1379" s="631"/>
      <c r="AD1379" s="631"/>
      <c r="AF1379" s="627">
        <v>35818.589999999997</v>
      </c>
      <c r="AG1379" s="627"/>
      <c r="AH1379" s="627"/>
      <c r="AI1379" s="627"/>
      <c r="AJ1379" s="627"/>
      <c r="AK1379" s="627"/>
      <c r="AL1379" s="627"/>
    </row>
    <row r="1380" spans="1:38" ht="11.1" customHeight="1" x14ac:dyDescent="0.25">
      <c r="A1380" s="630" t="s">
        <v>2673</v>
      </c>
      <c r="B1380" s="630"/>
      <c r="C1380" s="630"/>
      <c r="M1380" s="630" t="s">
        <v>501</v>
      </c>
      <c r="N1380" s="630"/>
      <c r="O1380" s="630"/>
      <c r="P1380" s="630"/>
      <c r="Q1380" s="627">
        <v>19969.259999999998</v>
      </c>
      <c r="R1380" s="627"/>
      <c r="T1380" s="631">
        <v>5537.6</v>
      </c>
      <c r="U1380" s="631"/>
      <c r="V1380" s="631"/>
      <c r="Y1380" s="631">
        <v>0</v>
      </c>
      <c r="Z1380" s="631"/>
      <c r="AA1380" s="631"/>
      <c r="AB1380" s="631"/>
      <c r="AC1380" s="631"/>
      <c r="AD1380" s="631"/>
      <c r="AF1380" s="627">
        <v>25506.86</v>
      </c>
      <c r="AG1380" s="627"/>
      <c r="AH1380" s="627"/>
      <c r="AI1380" s="627"/>
      <c r="AJ1380" s="627"/>
      <c r="AK1380" s="627"/>
      <c r="AL1380" s="627"/>
    </row>
    <row r="1381" spans="1:38" ht="11.1" customHeight="1" x14ac:dyDescent="0.25">
      <c r="A1381" s="630" t="s">
        <v>2674</v>
      </c>
      <c r="B1381" s="630"/>
      <c r="C1381" s="630"/>
      <c r="M1381" s="630" t="s">
        <v>505</v>
      </c>
      <c r="N1381" s="630"/>
      <c r="O1381" s="630"/>
      <c r="P1381" s="630"/>
      <c r="Q1381" s="627">
        <v>2096.59</v>
      </c>
      <c r="R1381" s="627"/>
      <c r="T1381" s="631">
        <v>15.96</v>
      </c>
      <c r="U1381" s="631"/>
      <c r="V1381" s="631"/>
      <c r="Y1381" s="631">
        <v>0</v>
      </c>
      <c r="Z1381" s="631"/>
      <c r="AA1381" s="631"/>
      <c r="AB1381" s="631"/>
      <c r="AC1381" s="631"/>
      <c r="AD1381" s="631"/>
      <c r="AF1381" s="627">
        <v>2112.5500000000002</v>
      </c>
      <c r="AG1381" s="627"/>
      <c r="AH1381" s="627"/>
      <c r="AI1381" s="627"/>
      <c r="AJ1381" s="627"/>
      <c r="AK1381" s="627"/>
      <c r="AL1381" s="627"/>
    </row>
    <row r="1382" spans="1:38" ht="11.1" customHeight="1" x14ac:dyDescent="0.25">
      <c r="A1382" s="630" t="s">
        <v>2675</v>
      </c>
      <c r="B1382" s="630"/>
      <c r="C1382" s="630"/>
      <c r="M1382" s="630" t="s">
        <v>1647</v>
      </c>
      <c r="N1382" s="630"/>
      <c r="O1382" s="630"/>
      <c r="P1382" s="630"/>
      <c r="Q1382" s="627">
        <v>960.04</v>
      </c>
      <c r="R1382" s="627"/>
      <c r="T1382" s="631">
        <v>83.84</v>
      </c>
      <c r="U1382" s="631"/>
      <c r="V1382" s="631"/>
      <c r="Y1382" s="631">
        <v>0</v>
      </c>
      <c r="Z1382" s="631"/>
      <c r="AA1382" s="631"/>
      <c r="AB1382" s="631"/>
      <c r="AC1382" s="631"/>
      <c r="AD1382" s="631"/>
      <c r="AF1382" s="627">
        <v>1043.8800000000001</v>
      </c>
      <c r="AG1382" s="627"/>
      <c r="AH1382" s="627"/>
      <c r="AI1382" s="627"/>
      <c r="AJ1382" s="627"/>
      <c r="AK1382" s="627"/>
      <c r="AL1382" s="627"/>
    </row>
    <row r="1383" spans="1:38" ht="11.1" customHeight="1" x14ac:dyDescent="0.25">
      <c r="A1383" s="630" t="s">
        <v>4627</v>
      </c>
      <c r="B1383" s="630"/>
      <c r="C1383" s="630"/>
      <c r="L1383" s="630" t="s">
        <v>335</v>
      </c>
      <c r="M1383" s="630"/>
      <c r="N1383" s="630"/>
      <c r="O1383" s="630"/>
      <c r="P1383" s="630"/>
      <c r="Q1383" s="627">
        <v>245044.85</v>
      </c>
      <c r="R1383" s="627"/>
      <c r="T1383" s="631">
        <v>40913.67</v>
      </c>
      <c r="U1383" s="631"/>
      <c r="V1383" s="631"/>
      <c r="Y1383" s="631">
        <v>52.22</v>
      </c>
      <c r="Z1383" s="631"/>
      <c r="AA1383" s="631"/>
      <c r="AB1383" s="631"/>
      <c r="AC1383" s="631"/>
      <c r="AD1383" s="631"/>
      <c r="AF1383" s="627">
        <v>285906.3</v>
      </c>
      <c r="AG1383" s="627"/>
      <c r="AH1383" s="627"/>
      <c r="AI1383" s="627"/>
      <c r="AJ1383" s="627"/>
      <c r="AK1383" s="627"/>
      <c r="AL1383" s="627"/>
    </row>
    <row r="1384" spans="1:38" ht="11.1" customHeight="1" x14ac:dyDescent="0.25">
      <c r="A1384" s="630" t="s">
        <v>2676</v>
      </c>
      <c r="B1384" s="630"/>
      <c r="C1384" s="630"/>
      <c r="M1384" s="630" t="s">
        <v>503</v>
      </c>
      <c r="N1384" s="630"/>
      <c r="O1384" s="630"/>
      <c r="P1384" s="630"/>
      <c r="Q1384" s="627">
        <v>93029.440000000002</v>
      </c>
      <c r="R1384" s="627"/>
      <c r="T1384" s="631">
        <v>8040.15</v>
      </c>
      <c r="U1384" s="631"/>
      <c r="V1384" s="631"/>
      <c r="Y1384" s="631">
        <v>0</v>
      </c>
      <c r="Z1384" s="631"/>
      <c r="AA1384" s="631"/>
      <c r="AB1384" s="631"/>
      <c r="AC1384" s="631"/>
      <c r="AD1384" s="631"/>
      <c r="AF1384" s="627">
        <v>101069.59</v>
      </c>
      <c r="AG1384" s="627"/>
      <c r="AH1384" s="627"/>
      <c r="AI1384" s="627"/>
      <c r="AJ1384" s="627"/>
      <c r="AK1384" s="627"/>
      <c r="AL1384" s="627"/>
    </row>
    <row r="1385" spans="1:38" ht="11.1" customHeight="1" x14ac:dyDescent="0.25">
      <c r="A1385" s="630" t="s">
        <v>2677</v>
      </c>
      <c r="B1385" s="630"/>
      <c r="C1385" s="630"/>
      <c r="M1385" s="630" t="s">
        <v>501</v>
      </c>
      <c r="N1385" s="630"/>
      <c r="O1385" s="630"/>
      <c r="P1385" s="630"/>
      <c r="Q1385" s="627">
        <v>53057.16</v>
      </c>
      <c r="R1385" s="627"/>
      <c r="T1385" s="631">
        <v>16403.7</v>
      </c>
      <c r="U1385" s="631"/>
      <c r="V1385" s="631"/>
      <c r="Y1385" s="631">
        <v>0</v>
      </c>
      <c r="Z1385" s="631"/>
      <c r="AA1385" s="631"/>
      <c r="AB1385" s="631"/>
      <c r="AC1385" s="631"/>
      <c r="AD1385" s="631"/>
      <c r="AF1385" s="627">
        <v>69460.86</v>
      </c>
      <c r="AG1385" s="627"/>
      <c r="AH1385" s="627"/>
      <c r="AI1385" s="627"/>
      <c r="AJ1385" s="627"/>
      <c r="AK1385" s="627"/>
      <c r="AL1385" s="627"/>
    </row>
    <row r="1386" spans="1:38" ht="11.1" customHeight="1" x14ac:dyDescent="0.25">
      <c r="A1386" s="630" t="s">
        <v>2678</v>
      </c>
      <c r="B1386" s="630"/>
      <c r="C1386" s="630"/>
      <c r="M1386" s="630" t="s">
        <v>505</v>
      </c>
      <c r="N1386" s="630"/>
      <c r="O1386" s="630"/>
      <c r="P1386" s="630"/>
      <c r="Q1386" s="627">
        <v>745.97</v>
      </c>
      <c r="R1386" s="627"/>
      <c r="T1386" s="631">
        <v>42.31</v>
      </c>
      <c r="U1386" s="631"/>
      <c r="V1386" s="631"/>
      <c r="Y1386" s="631">
        <v>52.22</v>
      </c>
      <c r="Z1386" s="631"/>
      <c r="AA1386" s="631"/>
      <c r="AB1386" s="631"/>
      <c r="AC1386" s="631"/>
      <c r="AD1386" s="631"/>
      <c r="AF1386" s="627">
        <v>736.06</v>
      </c>
      <c r="AG1386" s="627"/>
      <c r="AH1386" s="627"/>
      <c r="AI1386" s="627"/>
      <c r="AJ1386" s="627"/>
      <c r="AK1386" s="627"/>
      <c r="AL1386" s="627"/>
    </row>
    <row r="1387" spans="1:38" ht="11.1" customHeight="1" x14ac:dyDescent="0.25">
      <c r="A1387" s="630" t="s">
        <v>2679</v>
      </c>
      <c r="B1387" s="630"/>
      <c r="C1387" s="630"/>
      <c r="M1387" s="630" t="s">
        <v>1645</v>
      </c>
      <c r="N1387" s="630"/>
      <c r="O1387" s="630"/>
      <c r="P1387" s="630"/>
      <c r="Q1387" s="627">
        <v>95510.16</v>
      </c>
      <c r="R1387" s="627"/>
      <c r="T1387" s="631">
        <v>13666.43</v>
      </c>
      <c r="U1387" s="631"/>
      <c r="V1387" s="631"/>
      <c r="Y1387" s="631">
        <v>0</v>
      </c>
      <c r="Z1387" s="631"/>
      <c r="AA1387" s="631"/>
      <c r="AB1387" s="631"/>
      <c r="AC1387" s="631"/>
      <c r="AD1387" s="631"/>
      <c r="AF1387" s="627">
        <v>109176.59</v>
      </c>
      <c r="AG1387" s="627"/>
      <c r="AH1387" s="627"/>
      <c r="AI1387" s="627"/>
      <c r="AJ1387" s="627"/>
      <c r="AK1387" s="627"/>
      <c r="AL1387" s="627"/>
    </row>
    <row r="1388" spans="1:38" ht="11.1" customHeight="1" x14ac:dyDescent="0.25">
      <c r="A1388" s="630" t="s">
        <v>2680</v>
      </c>
      <c r="B1388" s="630"/>
      <c r="C1388" s="630"/>
      <c r="M1388" s="630" t="s">
        <v>1656</v>
      </c>
      <c r="N1388" s="630"/>
      <c r="O1388" s="630"/>
      <c r="P1388" s="630"/>
      <c r="Q1388" s="627">
        <v>2702.12</v>
      </c>
      <c r="R1388" s="627"/>
      <c r="T1388" s="631">
        <v>255.53</v>
      </c>
      <c r="U1388" s="631"/>
      <c r="V1388" s="631"/>
      <c r="Y1388" s="631">
        <v>0</v>
      </c>
      <c r="Z1388" s="631"/>
      <c r="AA1388" s="631"/>
      <c r="AB1388" s="631"/>
      <c r="AC1388" s="631"/>
      <c r="AD1388" s="631"/>
      <c r="AF1388" s="627">
        <v>2957.65</v>
      </c>
      <c r="AG1388" s="627"/>
      <c r="AH1388" s="627"/>
      <c r="AI1388" s="627"/>
      <c r="AJ1388" s="627"/>
      <c r="AK1388" s="627"/>
      <c r="AL1388" s="627"/>
    </row>
    <row r="1389" spans="1:38" ht="11.1" customHeight="1" x14ac:dyDescent="0.25">
      <c r="A1389" s="630" t="s">
        <v>2681</v>
      </c>
      <c r="B1389" s="630"/>
      <c r="C1389" s="630"/>
      <c r="M1389" s="630" t="s">
        <v>2508</v>
      </c>
      <c r="N1389" s="630"/>
      <c r="O1389" s="630"/>
      <c r="P1389" s="630"/>
      <c r="Q1389" s="627">
        <v>0</v>
      </c>
      <c r="R1389" s="627"/>
      <c r="T1389" s="631">
        <v>2505.5500000000002</v>
      </c>
      <c r="U1389" s="631"/>
      <c r="V1389" s="631"/>
      <c r="Y1389" s="631">
        <v>0</v>
      </c>
      <c r="Z1389" s="631"/>
      <c r="AA1389" s="631"/>
      <c r="AB1389" s="631"/>
      <c r="AC1389" s="631"/>
      <c r="AD1389" s="631"/>
      <c r="AF1389" s="627">
        <v>2505.5500000000002</v>
      </c>
      <c r="AG1389" s="627"/>
      <c r="AH1389" s="627"/>
      <c r="AI1389" s="627"/>
      <c r="AJ1389" s="627"/>
      <c r="AK1389" s="627"/>
      <c r="AL1389" s="627"/>
    </row>
    <row r="1390" spans="1:38" ht="11.1" customHeight="1" x14ac:dyDescent="0.25">
      <c r="A1390" s="630" t="s">
        <v>4628</v>
      </c>
      <c r="B1390" s="630"/>
      <c r="C1390" s="630"/>
      <c r="K1390" s="630" t="s">
        <v>331</v>
      </c>
      <c r="L1390" s="630"/>
      <c r="M1390" s="630"/>
      <c r="N1390" s="630"/>
      <c r="O1390" s="630"/>
      <c r="P1390" s="630"/>
      <c r="Q1390" s="627">
        <v>11391.31</v>
      </c>
      <c r="R1390" s="627"/>
      <c r="T1390" s="631">
        <v>1481.36</v>
      </c>
      <c r="U1390" s="631"/>
      <c r="V1390" s="631"/>
      <c r="Y1390" s="631">
        <v>74.44</v>
      </c>
      <c r="Z1390" s="631"/>
      <c r="AA1390" s="631"/>
      <c r="AB1390" s="631"/>
      <c r="AC1390" s="631"/>
      <c r="AD1390" s="631"/>
      <c r="AF1390" s="627">
        <v>12798.23</v>
      </c>
      <c r="AG1390" s="627"/>
      <c r="AH1390" s="627"/>
      <c r="AI1390" s="627"/>
      <c r="AJ1390" s="627"/>
      <c r="AK1390" s="627"/>
      <c r="AL1390" s="627"/>
    </row>
    <row r="1391" spans="1:38" ht="11.1" customHeight="1" x14ac:dyDescent="0.25">
      <c r="A1391" s="630" t="s">
        <v>4629</v>
      </c>
      <c r="B1391" s="630"/>
      <c r="C1391" s="630"/>
      <c r="L1391" s="630" t="s">
        <v>335</v>
      </c>
      <c r="M1391" s="630"/>
      <c r="N1391" s="630"/>
      <c r="O1391" s="630"/>
      <c r="P1391" s="630"/>
      <c r="Q1391" s="627">
        <v>11391.31</v>
      </c>
      <c r="R1391" s="627"/>
      <c r="T1391" s="631">
        <v>1481.36</v>
      </c>
      <c r="U1391" s="631"/>
      <c r="V1391" s="631"/>
      <c r="Y1391" s="631">
        <v>74.44</v>
      </c>
      <c r="Z1391" s="631"/>
      <c r="AA1391" s="631"/>
      <c r="AB1391" s="631"/>
      <c r="AC1391" s="631"/>
      <c r="AD1391" s="631"/>
      <c r="AF1391" s="627">
        <v>12798.23</v>
      </c>
      <c r="AG1391" s="627"/>
      <c r="AH1391" s="627"/>
      <c r="AI1391" s="627"/>
      <c r="AJ1391" s="627"/>
      <c r="AK1391" s="627"/>
      <c r="AL1391" s="627"/>
    </row>
    <row r="1392" spans="1:38" ht="11.1" customHeight="1" x14ac:dyDescent="0.25">
      <c r="A1392" s="630" t="s">
        <v>2682</v>
      </c>
      <c r="B1392" s="630"/>
      <c r="C1392" s="630"/>
      <c r="M1392" s="630" t="s">
        <v>1843</v>
      </c>
      <c r="N1392" s="630"/>
      <c r="O1392" s="630"/>
      <c r="P1392" s="630"/>
      <c r="Q1392" s="627">
        <v>6026.17</v>
      </c>
      <c r="R1392" s="627"/>
      <c r="T1392" s="631">
        <v>923.08</v>
      </c>
      <c r="U1392" s="631"/>
      <c r="V1392" s="631"/>
      <c r="Y1392" s="631">
        <v>0</v>
      </c>
      <c r="Z1392" s="631"/>
      <c r="AA1392" s="631"/>
      <c r="AB1392" s="631"/>
      <c r="AC1392" s="631"/>
      <c r="AD1392" s="631"/>
      <c r="AF1392" s="627">
        <v>6949.25</v>
      </c>
      <c r="AG1392" s="627"/>
      <c r="AH1392" s="627"/>
      <c r="AI1392" s="627"/>
      <c r="AJ1392" s="627"/>
      <c r="AK1392" s="627"/>
      <c r="AL1392" s="627"/>
    </row>
    <row r="1393" spans="1:38" ht="11.1" customHeight="1" x14ac:dyDescent="0.25">
      <c r="A1393" s="630" t="s">
        <v>2683</v>
      </c>
      <c r="B1393" s="630"/>
      <c r="C1393" s="630"/>
      <c r="M1393" s="630" t="s">
        <v>1845</v>
      </c>
      <c r="N1393" s="630"/>
      <c r="O1393" s="630"/>
      <c r="P1393" s="630"/>
      <c r="Q1393" s="627">
        <v>2627.29</v>
      </c>
      <c r="R1393" s="627"/>
      <c r="T1393" s="631">
        <v>144.49</v>
      </c>
      <c r="U1393" s="631"/>
      <c r="V1393" s="631"/>
      <c r="Y1393" s="631">
        <v>74.44</v>
      </c>
      <c r="Z1393" s="631"/>
      <c r="AA1393" s="631"/>
      <c r="AB1393" s="631"/>
      <c r="AC1393" s="631"/>
      <c r="AD1393" s="631"/>
      <c r="AF1393" s="627">
        <v>2697.34</v>
      </c>
      <c r="AG1393" s="627"/>
      <c r="AH1393" s="627"/>
      <c r="AI1393" s="627"/>
      <c r="AJ1393" s="627"/>
      <c r="AK1393" s="627"/>
      <c r="AL1393" s="627"/>
    </row>
    <row r="1394" spans="1:38" ht="11.1" customHeight="1" x14ac:dyDescent="0.25">
      <c r="A1394" s="630" t="s">
        <v>2684</v>
      </c>
      <c r="B1394" s="630"/>
      <c r="C1394" s="630"/>
      <c r="M1394" s="630" t="s">
        <v>1847</v>
      </c>
      <c r="N1394" s="630"/>
      <c r="O1394" s="630"/>
      <c r="P1394" s="630"/>
      <c r="Q1394" s="627">
        <v>1746.1</v>
      </c>
      <c r="R1394" s="627"/>
      <c r="T1394" s="631">
        <v>270.47000000000003</v>
      </c>
      <c r="U1394" s="631"/>
      <c r="V1394" s="631"/>
      <c r="Y1394" s="631">
        <v>0</v>
      </c>
      <c r="Z1394" s="631"/>
      <c r="AA1394" s="631"/>
      <c r="AB1394" s="631"/>
      <c r="AC1394" s="631"/>
      <c r="AD1394" s="631"/>
      <c r="AF1394" s="627">
        <v>2016.57</v>
      </c>
      <c r="AG1394" s="627"/>
      <c r="AH1394" s="627"/>
      <c r="AI1394" s="627"/>
      <c r="AJ1394" s="627"/>
      <c r="AK1394" s="627"/>
      <c r="AL1394" s="627"/>
    </row>
    <row r="1395" spans="1:38" ht="11.1" customHeight="1" x14ac:dyDescent="0.25">
      <c r="A1395" s="630" t="s">
        <v>2685</v>
      </c>
      <c r="B1395" s="630"/>
      <c r="C1395" s="630"/>
      <c r="M1395" s="630" t="s">
        <v>1849</v>
      </c>
      <c r="N1395" s="630"/>
      <c r="O1395" s="630"/>
      <c r="P1395" s="630"/>
      <c r="Q1395" s="627">
        <v>991.75</v>
      </c>
      <c r="R1395" s="627"/>
      <c r="T1395" s="631">
        <v>143.32</v>
      </c>
      <c r="U1395" s="631"/>
      <c r="V1395" s="631"/>
      <c r="Y1395" s="631">
        <v>0</v>
      </c>
      <c r="Z1395" s="631"/>
      <c r="AA1395" s="631"/>
      <c r="AB1395" s="631"/>
      <c r="AC1395" s="631"/>
      <c r="AD1395" s="631"/>
      <c r="AF1395" s="627">
        <v>1135.07</v>
      </c>
      <c r="AG1395" s="627"/>
      <c r="AH1395" s="627"/>
      <c r="AI1395" s="627"/>
      <c r="AJ1395" s="627"/>
      <c r="AK1395" s="627"/>
      <c r="AL1395" s="627"/>
    </row>
    <row r="1396" spans="1:38" ht="11.1" customHeight="1" x14ac:dyDescent="0.25">
      <c r="A1396" s="632" t="s">
        <v>3070</v>
      </c>
      <c r="B1396" s="632"/>
      <c r="C1396" s="632"/>
      <c r="J1396" s="632" t="s">
        <v>1657</v>
      </c>
      <c r="K1396" s="632"/>
      <c r="L1396" s="632"/>
      <c r="M1396" s="632"/>
      <c r="N1396" s="632"/>
      <c r="O1396" s="632"/>
      <c r="P1396" s="632"/>
      <c r="Q1396" s="633">
        <v>1806303.01</v>
      </c>
      <c r="R1396" s="633"/>
      <c r="T1396" s="634">
        <v>199332.46</v>
      </c>
      <c r="U1396" s="634"/>
      <c r="V1396" s="634"/>
      <c r="Y1396" s="634">
        <v>0</v>
      </c>
      <c r="Z1396" s="634"/>
      <c r="AA1396" s="634"/>
      <c r="AB1396" s="634"/>
      <c r="AC1396" s="634"/>
      <c r="AD1396" s="634"/>
      <c r="AF1396" s="633">
        <v>2005635.47</v>
      </c>
      <c r="AG1396" s="633"/>
      <c r="AH1396" s="633"/>
      <c r="AI1396" s="633"/>
      <c r="AJ1396" s="633"/>
      <c r="AK1396" s="633"/>
      <c r="AL1396" s="633"/>
    </row>
    <row r="1397" spans="1:38" ht="11.1" customHeight="1" x14ac:dyDescent="0.25">
      <c r="A1397" s="630" t="s">
        <v>4630</v>
      </c>
      <c r="B1397" s="630"/>
      <c r="C1397" s="630"/>
      <c r="K1397" s="630" t="s">
        <v>1768</v>
      </c>
      <c r="L1397" s="630"/>
      <c r="M1397" s="630"/>
      <c r="N1397" s="630"/>
      <c r="O1397" s="630"/>
      <c r="P1397" s="630"/>
      <c r="Q1397" s="627">
        <v>1611941.09</v>
      </c>
      <c r="R1397" s="627"/>
      <c r="T1397" s="631">
        <v>175508.04</v>
      </c>
      <c r="U1397" s="631"/>
      <c r="V1397" s="631"/>
      <c r="Y1397" s="631">
        <v>0</v>
      </c>
      <c r="Z1397" s="631"/>
      <c r="AA1397" s="631"/>
      <c r="AB1397" s="631"/>
      <c r="AC1397" s="631"/>
      <c r="AD1397" s="631"/>
      <c r="AF1397" s="627">
        <v>1787449.13</v>
      </c>
      <c r="AG1397" s="627"/>
      <c r="AH1397" s="627"/>
      <c r="AI1397" s="627"/>
      <c r="AJ1397" s="627"/>
      <c r="AK1397" s="627"/>
      <c r="AL1397" s="627"/>
    </row>
    <row r="1398" spans="1:38" ht="11.1" customHeight="1" x14ac:dyDescent="0.25">
      <c r="A1398" s="630" t="s">
        <v>4631</v>
      </c>
      <c r="B1398" s="630"/>
      <c r="C1398" s="630"/>
      <c r="L1398" s="630" t="s">
        <v>335</v>
      </c>
      <c r="M1398" s="630"/>
      <c r="N1398" s="630"/>
      <c r="O1398" s="630"/>
      <c r="P1398" s="630"/>
      <c r="Q1398" s="627">
        <v>1611941.09</v>
      </c>
      <c r="R1398" s="627"/>
      <c r="T1398" s="631">
        <v>175508.04</v>
      </c>
      <c r="U1398" s="631"/>
      <c r="V1398" s="631"/>
      <c r="Y1398" s="631">
        <v>0</v>
      </c>
      <c r="Z1398" s="631"/>
      <c r="AA1398" s="631"/>
      <c r="AB1398" s="631"/>
      <c r="AC1398" s="631"/>
      <c r="AD1398" s="631"/>
      <c r="AF1398" s="627">
        <v>1787449.13</v>
      </c>
      <c r="AG1398" s="627"/>
      <c r="AH1398" s="627"/>
      <c r="AI1398" s="627"/>
      <c r="AJ1398" s="627"/>
      <c r="AK1398" s="627"/>
      <c r="AL1398" s="627"/>
    </row>
    <row r="1399" spans="1:38" ht="11.1" customHeight="1" x14ac:dyDescent="0.25">
      <c r="A1399" s="630" t="s">
        <v>2686</v>
      </c>
      <c r="B1399" s="630"/>
      <c r="C1399" s="630"/>
      <c r="M1399" s="630" t="s">
        <v>2316</v>
      </c>
      <c r="N1399" s="630"/>
      <c r="O1399" s="630"/>
      <c r="P1399" s="630"/>
      <c r="Q1399" s="627">
        <v>1113475.1399999999</v>
      </c>
      <c r="R1399" s="627"/>
      <c r="T1399" s="631">
        <v>106099.03</v>
      </c>
      <c r="U1399" s="631"/>
      <c r="V1399" s="631"/>
      <c r="Y1399" s="631">
        <v>0</v>
      </c>
      <c r="Z1399" s="631"/>
      <c r="AA1399" s="631"/>
      <c r="AB1399" s="631"/>
      <c r="AC1399" s="631"/>
      <c r="AD1399" s="631"/>
      <c r="AF1399" s="627">
        <v>1219574.17</v>
      </c>
      <c r="AG1399" s="627"/>
      <c r="AH1399" s="627"/>
      <c r="AI1399" s="627"/>
      <c r="AJ1399" s="627"/>
      <c r="AK1399" s="627"/>
      <c r="AL1399" s="627"/>
    </row>
    <row r="1400" spans="1:38" ht="11.1" customHeight="1" x14ac:dyDescent="0.25">
      <c r="A1400" s="630" t="s">
        <v>2687</v>
      </c>
      <c r="B1400" s="630"/>
      <c r="C1400" s="630"/>
      <c r="M1400" s="630" t="s">
        <v>1090</v>
      </c>
      <c r="N1400" s="630"/>
      <c r="O1400" s="630"/>
      <c r="P1400" s="630"/>
      <c r="Q1400" s="627">
        <v>274501.21000000002</v>
      </c>
      <c r="R1400" s="627"/>
      <c r="T1400" s="631">
        <v>26546.76</v>
      </c>
      <c r="U1400" s="631"/>
      <c r="V1400" s="631"/>
      <c r="Y1400" s="631">
        <v>0</v>
      </c>
      <c r="Z1400" s="631"/>
      <c r="AA1400" s="631"/>
      <c r="AB1400" s="631"/>
      <c r="AC1400" s="631"/>
      <c r="AD1400" s="631"/>
      <c r="AF1400" s="627">
        <v>301047.96999999997</v>
      </c>
      <c r="AG1400" s="627"/>
      <c r="AH1400" s="627"/>
      <c r="AI1400" s="627"/>
      <c r="AJ1400" s="627"/>
      <c r="AK1400" s="627"/>
      <c r="AL1400" s="627"/>
    </row>
    <row r="1401" spans="1:38" ht="11.1" customHeight="1" x14ac:dyDescent="0.25">
      <c r="A1401" s="630" t="s">
        <v>2688</v>
      </c>
      <c r="B1401" s="630"/>
      <c r="C1401" s="630"/>
      <c r="M1401" s="630" t="s">
        <v>1092</v>
      </c>
      <c r="N1401" s="630"/>
      <c r="O1401" s="630"/>
      <c r="P1401" s="630"/>
      <c r="Q1401" s="627">
        <v>59243.02</v>
      </c>
      <c r="R1401" s="627"/>
      <c r="T1401" s="631">
        <v>5838.07</v>
      </c>
      <c r="U1401" s="631"/>
      <c r="V1401" s="631"/>
      <c r="Y1401" s="631">
        <v>0</v>
      </c>
      <c r="Z1401" s="631"/>
      <c r="AA1401" s="631"/>
      <c r="AB1401" s="631"/>
      <c r="AC1401" s="631"/>
      <c r="AD1401" s="631"/>
      <c r="AF1401" s="627">
        <v>65081.09</v>
      </c>
      <c r="AG1401" s="627"/>
      <c r="AH1401" s="627"/>
      <c r="AI1401" s="627"/>
      <c r="AJ1401" s="627"/>
      <c r="AK1401" s="627"/>
      <c r="AL1401" s="627"/>
    </row>
    <row r="1402" spans="1:38" ht="11.1" customHeight="1" x14ac:dyDescent="0.25">
      <c r="A1402" s="630" t="s">
        <v>2689</v>
      </c>
      <c r="B1402" s="630"/>
      <c r="C1402" s="630"/>
      <c r="M1402" s="630" t="s">
        <v>1573</v>
      </c>
      <c r="N1402" s="630"/>
      <c r="O1402" s="630"/>
      <c r="P1402" s="630"/>
      <c r="Q1402" s="627">
        <v>73534.52</v>
      </c>
      <c r="R1402" s="627"/>
      <c r="T1402" s="631">
        <v>8107.99</v>
      </c>
      <c r="U1402" s="631"/>
      <c r="V1402" s="631"/>
      <c r="Y1402" s="631">
        <v>0</v>
      </c>
      <c r="Z1402" s="631"/>
      <c r="AA1402" s="631"/>
      <c r="AB1402" s="631"/>
      <c r="AC1402" s="631"/>
      <c r="AD1402" s="631"/>
      <c r="AF1402" s="627">
        <v>81642.509999999995</v>
      </c>
      <c r="AG1402" s="627"/>
      <c r="AH1402" s="627"/>
      <c r="AI1402" s="627"/>
      <c r="AJ1402" s="627"/>
      <c r="AK1402" s="627"/>
      <c r="AL1402" s="627"/>
    </row>
    <row r="1403" spans="1:38" ht="11.1" customHeight="1" x14ac:dyDescent="0.25">
      <c r="A1403" s="630" t="s">
        <v>2690</v>
      </c>
      <c r="B1403" s="630"/>
      <c r="C1403" s="630"/>
      <c r="M1403" s="630" t="s">
        <v>1575</v>
      </c>
      <c r="N1403" s="630"/>
      <c r="O1403" s="630"/>
      <c r="P1403" s="630"/>
      <c r="Q1403" s="627">
        <v>13866.19</v>
      </c>
      <c r="R1403" s="627"/>
      <c r="T1403" s="631">
        <v>2213.4699999999998</v>
      </c>
      <c r="U1403" s="631"/>
      <c r="V1403" s="631"/>
      <c r="Y1403" s="631">
        <v>0</v>
      </c>
      <c r="Z1403" s="631"/>
      <c r="AA1403" s="631"/>
      <c r="AB1403" s="631"/>
      <c r="AC1403" s="631"/>
      <c r="AD1403" s="631"/>
      <c r="AF1403" s="627">
        <v>16079.66</v>
      </c>
      <c r="AG1403" s="627"/>
      <c r="AH1403" s="627"/>
      <c r="AI1403" s="627"/>
      <c r="AJ1403" s="627"/>
      <c r="AK1403" s="627"/>
      <c r="AL1403" s="627"/>
    </row>
    <row r="1404" spans="1:38" ht="11.1" customHeight="1" x14ac:dyDescent="0.25">
      <c r="A1404" s="630" t="s">
        <v>2691</v>
      </c>
      <c r="B1404" s="630"/>
      <c r="C1404" s="630"/>
      <c r="M1404" s="630" t="s">
        <v>1579</v>
      </c>
      <c r="N1404" s="630"/>
      <c r="O1404" s="630"/>
      <c r="P1404" s="630"/>
      <c r="Q1404" s="627">
        <v>53715.51</v>
      </c>
      <c r="R1404" s="627"/>
      <c r="T1404" s="631">
        <v>19256.52</v>
      </c>
      <c r="U1404" s="631"/>
      <c r="V1404" s="631"/>
      <c r="Y1404" s="631">
        <v>0</v>
      </c>
      <c r="Z1404" s="631"/>
      <c r="AA1404" s="631"/>
      <c r="AB1404" s="631"/>
      <c r="AC1404" s="631"/>
      <c r="AD1404" s="631"/>
      <c r="AF1404" s="627">
        <v>72972.03</v>
      </c>
      <c r="AG1404" s="627"/>
      <c r="AH1404" s="627"/>
      <c r="AI1404" s="627"/>
      <c r="AJ1404" s="627"/>
      <c r="AK1404" s="627"/>
      <c r="AL1404" s="627"/>
    </row>
    <row r="1405" spans="1:38" ht="11.1" customHeight="1" x14ac:dyDescent="0.25">
      <c r="A1405" s="630" t="s">
        <v>2692</v>
      </c>
      <c r="B1405" s="630"/>
      <c r="C1405" s="630"/>
      <c r="M1405" s="630" t="s">
        <v>1581</v>
      </c>
      <c r="N1405" s="630"/>
      <c r="O1405" s="630"/>
      <c r="P1405" s="630"/>
      <c r="Q1405" s="627">
        <v>14664.32</v>
      </c>
      <c r="R1405" s="627"/>
      <c r="T1405" s="631">
        <v>5257.04</v>
      </c>
      <c r="U1405" s="631"/>
      <c r="V1405" s="631"/>
      <c r="Y1405" s="631">
        <v>0</v>
      </c>
      <c r="Z1405" s="631"/>
      <c r="AA1405" s="631"/>
      <c r="AB1405" s="631"/>
      <c r="AC1405" s="631"/>
      <c r="AD1405" s="631"/>
      <c r="AF1405" s="627">
        <v>19921.36</v>
      </c>
      <c r="AG1405" s="627"/>
      <c r="AH1405" s="627"/>
      <c r="AI1405" s="627"/>
      <c r="AJ1405" s="627"/>
      <c r="AK1405" s="627"/>
      <c r="AL1405" s="627"/>
    </row>
    <row r="1406" spans="1:38" ht="11.1" customHeight="1" x14ac:dyDescent="0.25">
      <c r="A1406" s="630" t="s">
        <v>2693</v>
      </c>
      <c r="B1406" s="630"/>
      <c r="C1406" s="630"/>
      <c r="M1406" s="630" t="s">
        <v>1583</v>
      </c>
      <c r="N1406" s="630"/>
      <c r="O1406" s="630"/>
      <c r="P1406" s="630"/>
      <c r="Q1406" s="627">
        <v>4838.6899999999996</v>
      </c>
      <c r="R1406" s="627"/>
      <c r="T1406" s="631">
        <v>1540.52</v>
      </c>
      <c r="U1406" s="631"/>
      <c r="V1406" s="631"/>
      <c r="Y1406" s="631">
        <v>0</v>
      </c>
      <c r="Z1406" s="631"/>
      <c r="AA1406" s="631"/>
      <c r="AB1406" s="631"/>
      <c r="AC1406" s="631"/>
      <c r="AD1406" s="631"/>
      <c r="AF1406" s="627">
        <v>6379.21</v>
      </c>
      <c r="AG1406" s="627"/>
      <c r="AH1406" s="627"/>
      <c r="AI1406" s="627"/>
      <c r="AJ1406" s="627"/>
      <c r="AK1406" s="627"/>
      <c r="AL1406" s="627"/>
    </row>
    <row r="1407" spans="1:38" ht="11.1" customHeight="1" x14ac:dyDescent="0.25">
      <c r="A1407" s="630" t="s">
        <v>2694</v>
      </c>
      <c r="B1407" s="630"/>
      <c r="C1407" s="630"/>
      <c r="M1407" s="630" t="s">
        <v>1577</v>
      </c>
      <c r="N1407" s="630"/>
      <c r="O1407" s="630"/>
      <c r="P1407" s="630"/>
      <c r="Q1407" s="627">
        <v>4102.49</v>
      </c>
      <c r="R1407" s="627"/>
      <c r="T1407" s="631">
        <v>648.64</v>
      </c>
      <c r="U1407" s="631"/>
      <c r="V1407" s="631"/>
      <c r="Y1407" s="631">
        <v>0</v>
      </c>
      <c r="Z1407" s="631"/>
      <c r="AA1407" s="631"/>
      <c r="AB1407" s="631"/>
      <c r="AC1407" s="631"/>
      <c r="AD1407" s="631"/>
      <c r="AF1407" s="627">
        <v>4751.13</v>
      </c>
      <c r="AG1407" s="627"/>
      <c r="AH1407" s="627"/>
      <c r="AI1407" s="627"/>
      <c r="AJ1407" s="627"/>
      <c r="AK1407" s="627"/>
      <c r="AL1407" s="627"/>
    </row>
    <row r="1408" spans="1:38" ht="11.1" customHeight="1" x14ac:dyDescent="0.25">
      <c r="A1408" s="630" t="s">
        <v>4632</v>
      </c>
      <c r="B1408" s="630"/>
      <c r="C1408" s="630"/>
      <c r="K1408" s="630" t="s">
        <v>1658</v>
      </c>
      <c r="L1408" s="630"/>
      <c r="M1408" s="630"/>
      <c r="N1408" s="630"/>
      <c r="O1408" s="630"/>
      <c r="P1408" s="630"/>
      <c r="Q1408" s="627">
        <v>194361.92</v>
      </c>
      <c r="R1408" s="627"/>
      <c r="T1408" s="631">
        <v>23824.42</v>
      </c>
      <c r="U1408" s="631"/>
      <c r="V1408" s="631"/>
      <c r="Y1408" s="631">
        <v>0</v>
      </c>
      <c r="Z1408" s="631"/>
      <c r="AA1408" s="631"/>
      <c r="AB1408" s="631"/>
      <c r="AC1408" s="631"/>
      <c r="AD1408" s="631"/>
      <c r="AF1408" s="627">
        <v>218186.34</v>
      </c>
      <c r="AG1408" s="627"/>
      <c r="AH1408" s="627"/>
      <c r="AI1408" s="627"/>
      <c r="AJ1408" s="627"/>
      <c r="AK1408" s="627"/>
      <c r="AL1408" s="627"/>
    </row>
    <row r="1409" spans="1:38" ht="11.1" customHeight="1" x14ac:dyDescent="0.25">
      <c r="A1409" s="630" t="s">
        <v>4633</v>
      </c>
      <c r="B1409" s="630"/>
      <c r="C1409" s="630"/>
      <c r="L1409" s="630" t="s">
        <v>335</v>
      </c>
      <c r="M1409" s="630"/>
      <c r="N1409" s="630"/>
      <c r="O1409" s="630"/>
      <c r="P1409" s="630"/>
      <c r="Q1409" s="627">
        <v>194361.92</v>
      </c>
      <c r="R1409" s="627"/>
      <c r="T1409" s="631">
        <v>23824.42</v>
      </c>
      <c r="U1409" s="631"/>
      <c r="V1409" s="631"/>
      <c r="Y1409" s="631">
        <v>0</v>
      </c>
      <c r="Z1409" s="631"/>
      <c r="AA1409" s="631"/>
      <c r="AB1409" s="631"/>
      <c r="AC1409" s="631"/>
      <c r="AD1409" s="631"/>
      <c r="AF1409" s="627">
        <v>218186.34</v>
      </c>
      <c r="AG1409" s="627"/>
      <c r="AH1409" s="627"/>
      <c r="AI1409" s="627"/>
      <c r="AJ1409" s="627"/>
      <c r="AK1409" s="627"/>
      <c r="AL1409" s="627"/>
    </row>
    <row r="1410" spans="1:38" ht="11.1" customHeight="1" x14ac:dyDescent="0.25">
      <c r="A1410" s="630" t="s">
        <v>2695</v>
      </c>
      <c r="B1410" s="630"/>
      <c r="C1410" s="630"/>
      <c r="M1410" s="630" t="s">
        <v>503</v>
      </c>
      <c r="N1410" s="630"/>
      <c r="O1410" s="630"/>
      <c r="P1410" s="630"/>
      <c r="Q1410" s="627">
        <v>24132.959999999999</v>
      </c>
      <c r="R1410" s="627"/>
      <c r="T1410" s="631">
        <v>2010.04</v>
      </c>
      <c r="U1410" s="631"/>
      <c r="V1410" s="631"/>
      <c r="Y1410" s="631">
        <v>0</v>
      </c>
      <c r="Z1410" s="631"/>
      <c r="AA1410" s="631"/>
      <c r="AB1410" s="631"/>
      <c r="AC1410" s="631"/>
      <c r="AD1410" s="631"/>
      <c r="AF1410" s="627">
        <v>26143</v>
      </c>
      <c r="AG1410" s="627"/>
      <c r="AH1410" s="627"/>
      <c r="AI1410" s="627"/>
      <c r="AJ1410" s="627"/>
      <c r="AK1410" s="627"/>
      <c r="AL1410" s="627"/>
    </row>
    <row r="1411" spans="1:38" ht="11.1" customHeight="1" x14ac:dyDescent="0.25">
      <c r="A1411" s="630" t="s">
        <v>2696</v>
      </c>
      <c r="B1411" s="630"/>
      <c r="C1411" s="630"/>
      <c r="M1411" s="630" t="s">
        <v>501</v>
      </c>
      <c r="N1411" s="630"/>
      <c r="O1411" s="630"/>
      <c r="P1411" s="630"/>
      <c r="Q1411" s="627">
        <v>7539.68</v>
      </c>
      <c r="R1411" s="627"/>
      <c r="T1411" s="631">
        <v>3545.14</v>
      </c>
      <c r="U1411" s="631"/>
      <c r="V1411" s="631"/>
      <c r="Y1411" s="631">
        <v>0</v>
      </c>
      <c r="Z1411" s="631"/>
      <c r="AA1411" s="631"/>
      <c r="AB1411" s="631"/>
      <c r="AC1411" s="631"/>
      <c r="AD1411" s="631"/>
      <c r="AF1411" s="627">
        <v>11084.82</v>
      </c>
      <c r="AG1411" s="627"/>
      <c r="AH1411" s="627"/>
      <c r="AI1411" s="627"/>
      <c r="AJ1411" s="627"/>
      <c r="AK1411" s="627"/>
      <c r="AL1411" s="627"/>
    </row>
    <row r="1412" spans="1:38" ht="11.1" customHeight="1" x14ac:dyDescent="0.25">
      <c r="A1412" s="630" t="s">
        <v>2697</v>
      </c>
      <c r="B1412" s="630"/>
      <c r="C1412" s="630"/>
      <c r="M1412" s="630" t="s">
        <v>1867</v>
      </c>
      <c r="N1412" s="630"/>
      <c r="O1412" s="630"/>
      <c r="P1412" s="630"/>
      <c r="Q1412" s="627">
        <v>719.91</v>
      </c>
      <c r="R1412" s="627"/>
      <c r="T1412" s="631">
        <v>62.86</v>
      </c>
      <c r="U1412" s="631"/>
      <c r="V1412" s="631"/>
      <c r="Y1412" s="631">
        <v>0</v>
      </c>
      <c r="Z1412" s="631"/>
      <c r="AA1412" s="631"/>
      <c r="AB1412" s="631"/>
      <c r="AC1412" s="631"/>
      <c r="AD1412" s="631"/>
      <c r="AF1412" s="627">
        <v>782.77</v>
      </c>
      <c r="AG1412" s="627"/>
      <c r="AH1412" s="627"/>
      <c r="AI1412" s="627"/>
      <c r="AJ1412" s="627"/>
      <c r="AK1412" s="627"/>
      <c r="AL1412" s="627"/>
    </row>
    <row r="1413" spans="1:38" ht="11.1" customHeight="1" x14ac:dyDescent="0.25">
      <c r="A1413" s="630" t="s">
        <v>2698</v>
      </c>
      <c r="B1413" s="630"/>
      <c r="C1413" s="630"/>
      <c r="M1413" s="630" t="s">
        <v>1624</v>
      </c>
      <c r="N1413" s="630"/>
      <c r="O1413" s="630"/>
      <c r="P1413" s="630"/>
      <c r="Q1413" s="627">
        <v>117678.34</v>
      </c>
      <c r="R1413" s="627"/>
      <c r="T1413" s="631">
        <v>12335.75</v>
      </c>
      <c r="U1413" s="631"/>
      <c r="V1413" s="631"/>
      <c r="Y1413" s="631">
        <v>0</v>
      </c>
      <c r="Z1413" s="631"/>
      <c r="AA1413" s="631"/>
      <c r="AB1413" s="631"/>
      <c r="AC1413" s="631"/>
      <c r="AD1413" s="631"/>
      <c r="AF1413" s="627">
        <v>130014.09</v>
      </c>
      <c r="AG1413" s="627"/>
      <c r="AH1413" s="627"/>
      <c r="AI1413" s="627"/>
      <c r="AJ1413" s="627"/>
      <c r="AK1413" s="627"/>
      <c r="AL1413" s="627"/>
    </row>
    <row r="1414" spans="1:38" ht="11.1" customHeight="1" x14ac:dyDescent="0.25">
      <c r="A1414" s="630" t="s">
        <v>2699</v>
      </c>
      <c r="B1414" s="630"/>
      <c r="C1414" s="630"/>
      <c r="M1414" s="630" t="s">
        <v>1645</v>
      </c>
      <c r="N1414" s="630"/>
      <c r="O1414" s="630"/>
      <c r="P1414" s="630"/>
      <c r="Q1414" s="627">
        <v>41000.35</v>
      </c>
      <c r="R1414" s="627"/>
      <c r="T1414" s="631">
        <v>5870.63</v>
      </c>
      <c r="U1414" s="631"/>
      <c r="V1414" s="631"/>
      <c r="Y1414" s="631">
        <v>0</v>
      </c>
      <c r="Z1414" s="631"/>
      <c r="AA1414" s="631"/>
      <c r="AB1414" s="631"/>
      <c r="AC1414" s="631"/>
      <c r="AD1414" s="631"/>
      <c r="AF1414" s="627">
        <v>46870.98</v>
      </c>
      <c r="AG1414" s="627"/>
      <c r="AH1414" s="627"/>
      <c r="AI1414" s="627"/>
      <c r="AJ1414" s="627"/>
      <c r="AK1414" s="627"/>
      <c r="AL1414" s="627"/>
    </row>
    <row r="1415" spans="1:38" ht="11.1" customHeight="1" x14ac:dyDescent="0.25">
      <c r="A1415" s="630" t="s">
        <v>2700</v>
      </c>
      <c r="B1415" s="630"/>
      <c r="C1415" s="630"/>
      <c r="M1415" s="630" t="s">
        <v>1633</v>
      </c>
      <c r="N1415" s="630"/>
      <c r="O1415" s="630"/>
      <c r="P1415" s="630"/>
      <c r="Q1415" s="627">
        <v>3290.68</v>
      </c>
      <c r="R1415" s="627"/>
      <c r="T1415" s="631">
        <v>0</v>
      </c>
      <c r="U1415" s="631"/>
      <c r="V1415" s="631"/>
      <c r="Y1415" s="631">
        <v>0</v>
      </c>
      <c r="Z1415" s="631"/>
      <c r="AA1415" s="631"/>
      <c r="AB1415" s="631"/>
      <c r="AC1415" s="631"/>
      <c r="AD1415" s="631"/>
      <c r="AF1415" s="627">
        <v>3290.68</v>
      </c>
      <c r="AG1415" s="627"/>
      <c r="AH1415" s="627"/>
      <c r="AI1415" s="627"/>
      <c r="AJ1415" s="627"/>
      <c r="AK1415" s="627"/>
      <c r="AL1415" s="627"/>
    </row>
    <row r="1416" spans="1:38" ht="11.1" customHeight="1" x14ac:dyDescent="0.25">
      <c r="A1416" s="632" t="s">
        <v>4634</v>
      </c>
      <c r="B1416" s="632"/>
      <c r="C1416" s="632"/>
      <c r="J1416" s="632" t="s">
        <v>1660</v>
      </c>
      <c r="K1416" s="632"/>
      <c r="L1416" s="632"/>
      <c r="M1416" s="632"/>
      <c r="N1416" s="632"/>
      <c r="O1416" s="632"/>
      <c r="P1416" s="632"/>
      <c r="Q1416" s="633">
        <v>2562694.9900000002</v>
      </c>
      <c r="R1416" s="633"/>
      <c r="T1416" s="634">
        <v>260969.22</v>
      </c>
      <c r="U1416" s="634"/>
      <c r="V1416" s="634"/>
      <c r="Y1416" s="634">
        <v>0</v>
      </c>
      <c r="Z1416" s="634"/>
      <c r="AA1416" s="634"/>
      <c r="AB1416" s="634"/>
      <c r="AC1416" s="634"/>
      <c r="AD1416" s="634"/>
      <c r="AF1416" s="633">
        <v>2823664.21</v>
      </c>
      <c r="AG1416" s="633"/>
      <c r="AH1416" s="633"/>
      <c r="AI1416" s="633"/>
      <c r="AJ1416" s="633"/>
      <c r="AK1416" s="633"/>
      <c r="AL1416" s="633"/>
    </row>
    <row r="1417" spans="1:38" ht="11.1" customHeight="1" x14ac:dyDescent="0.25">
      <c r="A1417" s="630" t="s">
        <v>4635</v>
      </c>
      <c r="B1417" s="630"/>
      <c r="C1417" s="630"/>
      <c r="K1417" s="630" t="s">
        <v>1660</v>
      </c>
      <c r="L1417" s="630"/>
      <c r="M1417" s="630"/>
      <c r="N1417" s="630"/>
      <c r="O1417" s="630"/>
      <c r="P1417" s="630"/>
      <c r="Q1417" s="627">
        <v>2554223.9900000002</v>
      </c>
      <c r="R1417" s="627"/>
      <c r="T1417" s="631">
        <v>259030.57</v>
      </c>
      <c r="U1417" s="631"/>
      <c r="V1417" s="631"/>
      <c r="Y1417" s="631">
        <v>0</v>
      </c>
      <c r="Z1417" s="631"/>
      <c r="AA1417" s="631"/>
      <c r="AB1417" s="631"/>
      <c r="AC1417" s="631"/>
      <c r="AD1417" s="631"/>
      <c r="AF1417" s="627">
        <v>2813254.56</v>
      </c>
      <c r="AG1417" s="627"/>
      <c r="AH1417" s="627"/>
      <c r="AI1417" s="627"/>
      <c r="AJ1417" s="627"/>
      <c r="AK1417" s="627"/>
      <c r="AL1417" s="627"/>
    </row>
    <row r="1418" spans="1:38" ht="11.1" customHeight="1" x14ac:dyDescent="0.25">
      <c r="A1418" s="630" t="s">
        <v>4636</v>
      </c>
      <c r="B1418" s="630"/>
      <c r="C1418" s="630"/>
      <c r="L1418" s="630" t="s">
        <v>2294</v>
      </c>
      <c r="M1418" s="630"/>
      <c r="N1418" s="630"/>
      <c r="O1418" s="630"/>
      <c r="P1418" s="630"/>
      <c r="Q1418" s="627">
        <v>2542362.92</v>
      </c>
      <c r="R1418" s="627"/>
      <c r="T1418" s="631">
        <v>258072.51</v>
      </c>
      <c r="U1418" s="631"/>
      <c r="V1418" s="631"/>
      <c r="Y1418" s="631">
        <v>0</v>
      </c>
      <c r="Z1418" s="631"/>
      <c r="AA1418" s="631"/>
      <c r="AB1418" s="631"/>
      <c r="AC1418" s="631"/>
      <c r="AD1418" s="631"/>
      <c r="AF1418" s="627">
        <v>2800435.43</v>
      </c>
      <c r="AG1418" s="627"/>
      <c r="AH1418" s="627"/>
      <c r="AI1418" s="627"/>
      <c r="AJ1418" s="627"/>
      <c r="AK1418" s="627"/>
      <c r="AL1418" s="627"/>
    </row>
    <row r="1419" spans="1:38" ht="11.1" customHeight="1" x14ac:dyDescent="0.25">
      <c r="A1419" s="630" t="s">
        <v>4637</v>
      </c>
      <c r="B1419" s="630"/>
      <c r="C1419" s="630"/>
      <c r="M1419" s="630" t="s">
        <v>1875</v>
      </c>
      <c r="N1419" s="630"/>
      <c r="O1419" s="630"/>
      <c r="P1419" s="630"/>
      <c r="Q1419" s="627">
        <v>2041.05</v>
      </c>
      <c r="R1419" s="627"/>
      <c r="T1419" s="631">
        <v>0</v>
      </c>
      <c r="U1419" s="631"/>
      <c r="V1419" s="631"/>
      <c r="Y1419" s="631">
        <v>0</v>
      </c>
      <c r="Z1419" s="631"/>
      <c r="AA1419" s="631"/>
      <c r="AB1419" s="631"/>
      <c r="AC1419" s="631"/>
      <c r="AD1419" s="631"/>
      <c r="AF1419" s="627">
        <v>2041.05</v>
      </c>
      <c r="AG1419" s="627"/>
      <c r="AH1419" s="627"/>
      <c r="AI1419" s="627"/>
      <c r="AJ1419" s="627"/>
      <c r="AK1419" s="627"/>
      <c r="AL1419" s="627"/>
    </row>
    <row r="1420" spans="1:38" ht="11.1" customHeight="1" x14ac:dyDescent="0.25">
      <c r="A1420" s="630" t="s">
        <v>4638</v>
      </c>
      <c r="B1420" s="630"/>
      <c r="C1420" s="630"/>
      <c r="M1420" s="630" t="s">
        <v>2495</v>
      </c>
      <c r="N1420" s="630"/>
      <c r="O1420" s="630"/>
      <c r="P1420" s="630"/>
      <c r="Q1420" s="627">
        <v>8931.85</v>
      </c>
      <c r="R1420" s="627"/>
      <c r="T1420" s="631">
        <v>0</v>
      </c>
      <c r="U1420" s="631"/>
      <c r="V1420" s="631"/>
      <c r="Y1420" s="631">
        <v>0</v>
      </c>
      <c r="Z1420" s="631"/>
      <c r="AA1420" s="631"/>
      <c r="AB1420" s="631"/>
      <c r="AC1420" s="631"/>
      <c r="AD1420" s="631"/>
      <c r="AF1420" s="627">
        <v>8931.85</v>
      </c>
      <c r="AG1420" s="627"/>
      <c r="AH1420" s="627"/>
      <c r="AI1420" s="627"/>
      <c r="AJ1420" s="627"/>
      <c r="AK1420" s="627"/>
      <c r="AL1420" s="627"/>
    </row>
    <row r="1421" spans="1:38" ht="11.1" customHeight="1" x14ac:dyDescent="0.25">
      <c r="A1421" s="630" t="s">
        <v>4639</v>
      </c>
      <c r="B1421" s="630"/>
      <c r="C1421" s="630"/>
      <c r="M1421" s="630" t="s">
        <v>2288</v>
      </c>
      <c r="N1421" s="630"/>
      <c r="O1421" s="630"/>
      <c r="P1421" s="630"/>
      <c r="Q1421" s="627">
        <v>14267.13</v>
      </c>
      <c r="R1421" s="627"/>
      <c r="T1421" s="631">
        <v>0</v>
      </c>
      <c r="U1421" s="631"/>
      <c r="V1421" s="631"/>
      <c r="Y1421" s="631">
        <v>0</v>
      </c>
      <c r="Z1421" s="631"/>
      <c r="AA1421" s="631"/>
      <c r="AB1421" s="631"/>
      <c r="AC1421" s="631"/>
      <c r="AD1421" s="631"/>
      <c r="AF1421" s="627">
        <v>14267.13</v>
      </c>
      <c r="AG1421" s="627"/>
      <c r="AH1421" s="627"/>
      <c r="AI1421" s="627"/>
      <c r="AJ1421" s="627"/>
      <c r="AK1421" s="627"/>
      <c r="AL1421" s="627"/>
    </row>
    <row r="1422" spans="1:38" ht="11.1" customHeight="1" x14ac:dyDescent="0.25">
      <c r="A1422" s="630" t="s">
        <v>4640</v>
      </c>
      <c r="B1422" s="630"/>
      <c r="C1422" s="630"/>
      <c r="M1422" s="630" t="s">
        <v>2510</v>
      </c>
      <c r="N1422" s="630"/>
      <c r="O1422" s="630"/>
      <c r="P1422" s="630"/>
      <c r="Q1422" s="627">
        <v>474703.84</v>
      </c>
      <c r="R1422" s="627"/>
      <c r="T1422" s="631">
        <v>27888.33</v>
      </c>
      <c r="U1422" s="631"/>
      <c r="V1422" s="631"/>
      <c r="Y1422" s="631">
        <v>0</v>
      </c>
      <c r="Z1422" s="631"/>
      <c r="AA1422" s="631"/>
      <c r="AB1422" s="631"/>
      <c r="AC1422" s="631"/>
      <c r="AD1422" s="631"/>
      <c r="AF1422" s="627">
        <v>502592.17</v>
      </c>
      <c r="AG1422" s="627"/>
      <c r="AH1422" s="627"/>
      <c r="AI1422" s="627"/>
      <c r="AJ1422" s="627"/>
      <c r="AK1422" s="627"/>
      <c r="AL1422" s="627"/>
    </row>
    <row r="1423" spans="1:38" ht="11.1" customHeight="1" x14ac:dyDescent="0.25">
      <c r="A1423" s="630" t="s">
        <v>4641</v>
      </c>
      <c r="B1423" s="630"/>
      <c r="C1423" s="630"/>
      <c r="M1423" s="630" t="s">
        <v>2321</v>
      </c>
      <c r="N1423" s="630"/>
      <c r="O1423" s="630"/>
      <c r="P1423" s="630"/>
      <c r="Q1423" s="627">
        <v>2019778.35</v>
      </c>
      <c r="R1423" s="627"/>
      <c r="T1423" s="631">
        <v>229664.78</v>
      </c>
      <c r="U1423" s="631"/>
      <c r="V1423" s="631"/>
      <c r="Y1423" s="631">
        <v>0</v>
      </c>
      <c r="Z1423" s="631"/>
      <c r="AA1423" s="631"/>
      <c r="AB1423" s="631"/>
      <c r="AC1423" s="631"/>
      <c r="AD1423" s="631"/>
      <c r="AF1423" s="627">
        <v>2249443.13</v>
      </c>
      <c r="AG1423" s="627"/>
      <c r="AH1423" s="627"/>
      <c r="AI1423" s="627"/>
      <c r="AJ1423" s="627"/>
      <c r="AK1423" s="627"/>
      <c r="AL1423" s="627"/>
    </row>
    <row r="1424" spans="1:38" ht="11.1" customHeight="1" x14ac:dyDescent="0.25">
      <c r="A1424" s="630" t="s">
        <v>4642</v>
      </c>
      <c r="B1424" s="630"/>
      <c r="C1424" s="630"/>
      <c r="M1424" s="630" t="s">
        <v>2323</v>
      </c>
      <c r="N1424" s="630"/>
      <c r="O1424" s="630"/>
      <c r="P1424" s="630"/>
      <c r="Q1424" s="627">
        <v>22640.7</v>
      </c>
      <c r="R1424" s="627"/>
      <c r="T1424" s="631">
        <v>519.4</v>
      </c>
      <c r="U1424" s="631"/>
      <c r="V1424" s="631"/>
      <c r="Y1424" s="631">
        <v>0</v>
      </c>
      <c r="Z1424" s="631"/>
      <c r="AA1424" s="631"/>
      <c r="AB1424" s="631"/>
      <c r="AC1424" s="631"/>
      <c r="AD1424" s="631"/>
      <c r="AF1424" s="627">
        <v>23160.1</v>
      </c>
      <c r="AG1424" s="627"/>
      <c r="AH1424" s="627"/>
      <c r="AI1424" s="627"/>
      <c r="AJ1424" s="627"/>
      <c r="AK1424" s="627"/>
      <c r="AL1424" s="627"/>
    </row>
    <row r="1425" spans="1:38" ht="11.1" customHeight="1" x14ac:dyDescent="0.25">
      <c r="A1425" s="630" t="s">
        <v>4643</v>
      </c>
      <c r="B1425" s="630"/>
      <c r="C1425" s="630"/>
      <c r="L1425" s="630" t="s">
        <v>335</v>
      </c>
      <c r="M1425" s="630"/>
      <c r="N1425" s="630"/>
      <c r="O1425" s="630"/>
      <c r="P1425" s="630"/>
      <c r="Q1425" s="627">
        <v>11861.07</v>
      </c>
      <c r="R1425" s="627"/>
      <c r="T1425" s="631">
        <v>958.06</v>
      </c>
      <c r="U1425" s="631"/>
      <c r="V1425" s="631"/>
      <c r="Y1425" s="631">
        <v>0</v>
      </c>
      <c r="Z1425" s="631"/>
      <c r="AA1425" s="631"/>
      <c r="AB1425" s="631"/>
      <c r="AC1425" s="631"/>
      <c r="AD1425" s="631"/>
      <c r="AF1425" s="627">
        <v>12819.13</v>
      </c>
      <c r="AG1425" s="627"/>
      <c r="AH1425" s="627"/>
      <c r="AI1425" s="627"/>
      <c r="AJ1425" s="627"/>
      <c r="AK1425" s="627"/>
      <c r="AL1425" s="627"/>
    </row>
    <row r="1426" spans="1:38" ht="11.1" customHeight="1" x14ac:dyDescent="0.25">
      <c r="A1426" s="630" t="s">
        <v>4644</v>
      </c>
      <c r="B1426" s="630"/>
      <c r="C1426" s="630"/>
      <c r="M1426" s="630" t="s">
        <v>2492</v>
      </c>
      <c r="N1426" s="630"/>
      <c r="O1426" s="630"/>
      <c r="P1426" s="630"/>
      <c r="Q1426" s="627">
        <v>540.9</v>
      </c>
      <c r="R1426" s="627"/>
      <c r="T1426" s="631">
        <v>0</v>
      </c>
      <c r="U1426" s="631"/>
      <c r="V1426" s="631"/>
      <c r="Y1426" s="631">
        <v>0</v>
      </c>
      <c r="Z1426" s="631"/>
      <c r="AA1426" s="631"/>
      <c r="AB1426" s="631"/>
      <c r="AC1426" s="631"/>
      <c r="AD1426" s="631"/>
      <c r="AF1426" s="627">
        <v>540.9</v>
      </c>
      <c r="AG1426" s="627"/>
      <c r="AH1426" s="627"/>
      <c r="AI1426" s="627"/>
      <c r="AJ1426" s="627"/>
      <c r="AK1426" s="627"/>
      <c r="AL1426" s="627"/>
    </row>
    <row r="1427" spans="1:38" ht="11.1" customHeight="1" x14ac:dyDescent="0.25">
      <c r="A1427" s="630" t="s">
        <v>4645</v>
      </c>
      <c r="B1427" s="630"/>
      <c r="C1427" s="630"/>
      <c r="M1427" s="630" t="s">
        <v>2512</v>
      </c>
      <c r="N1427" s="630"/>
      <c r="O1427" s="630"/>
      <c r="P1427" s="630"/>
      <c r="Q1427" s="627">
        <v>139.84</v>
      </c>
      <c r="R1427" s="627"/>
      <c r="T1427" s="631">
        <v>0</v>
      </c>
      <c r="U1427" s="631"/>
      <c r="V1427" s="631"/>
      <c r="Y1427" s="631">
        <v>0</v>
      </c>
      <c r="Z1427" s="631"/>
      <c r="AA1427" s="631"/>
      <c r="AB1427" s="631"/>
      <c r="AC1427" s="631"/>
      <c r="AD1427" s="631"/>
      <c r="AF1427" s="627">
        <v>139.84</v>
      </c>
      <c r="AG1427" s="627"/>
      <c r="AH1427" s="627"/>
      <c r="AI1427" s="627"/>
      <c r="AJ1427" s="627"/>
      <c r="AK1427" s="627"/>
      <c r="AL1427" s="627"/>
    </row>
    <row r="1428" spans="1:38" ht="11.1" customHeight="1" x14ac:dyDescent="0.25">
      <c r="A1428" s="630" t="s">
        <v>4646</v>
      </c>
      <c r="B1428" s="630"/>
      <c r="C1428" s="630"/>
      <c r="M1428" s="630" t="s">
        <v>1669</v>
      </c>
      <c r="N1428" s="630"/>
      <c r="O1428" s="630"/>
      <c r="P1428" s="630"/>
      <c r="Q1428" s="627">
        <v>1962.77</v>
      </c>
      <c r="R1428" s="627"/>
      <c r="T1428" s="631">
        <v>141.26</v>
      </c>
      <c r="U1428" s="631"/>
      <c r="V1428" s="631"/>
      <c r="Y1428" s="631">
        <v>0</v>
      </c>
      <c r="Z1428" s="631"/>
      <c r="AA1428" s="631"/>
      <c r="AB1428" s="631"/>
      <c r="AC1428" s="631"/>
      <c r="AD1428" s="631"/>
      <c r="AF1428" s="627">
        <v>2104.0300000000002</v>
      </c>
      <c r="AG1428" s="627"/>
      <c r="AH1428" s="627"/>
      <c r="AI1428" s="627"/>
      <c r="AJ1428" s="627"/>
      <c r="AK1428" s="627"/>
      <c r="AL1428" s="627"/>
    </row>
    <row r="1429" spans="1:38" ht="11.1" customHeight="1" x14ac:dyDescent="0.25">
      <c r="A1429" s="630" t="s">
        <v>4647</v>
      </c>
      <c r="B1429" s="630"/>
      <c r="C1429" s="630"/>
      <c r="M1429" s="630" t="s">
        <v>1875</v>
      </c>
      <c r="N1429" s="630"/>
      <c r="O1429" s="630"/>
      <c r="P1429" s="630"/>
      <c r="Q1429" s="627">
        <v>1488.27</v>
      </c>
      <c r="R1429" s="627"/>
      <c r="T1429" s="631">
        <v>647.03</v>
      </c>
      <c r="U1429" s="631"/>
      <c r="V1429" s="631"/>
      <c r="Y1429" s="631">
        <v>0</v>
      </c>
      <c r="Z1429" s="631"/>
      <c r="AA1429" s="631"/>
      <c r="AB1429" s="631"/>
      <c r="AC1429" s="631"/>
      <c r="AD1429" s="631"/>
      <c r="AF1429" s="627">
        <v>2135.3000000000002</v>
      </c>
      <c r="AG1429" s="627"/>
      <c r="AH1429" s="627"/>
      <c r="AI1429" s="627"/>
      <c r="AJ1429" s="627"/>
      <c r="AK1429" s="627"/>
      <c r="AL1429" s="627"/>
    </row>
    <row r="1430" spans="1:38" ht="11.1" customHeight="1" x14ac:dyDescent="0.25">
      <c r="A1430" s="630" t="s">
        <v>4648</v>
      </c>
      <c r="B1430" s="630"/>
      <c r="C1430" s="630"/>
      <c r="M1430" s="630" t="s">
        <v>2513</v>
      </c>
      <c r="N1430" s="630"/>
      <c r="O1430" s="630"/>
      <c r="P1430" s="630"/>
      <c r="Q1430" s="627">
        <v>622.46</v>
      </c>
      <c r="R1430" s="627"/>
      <c r="T1430" s="631">
        <v>0</v>
      </c>
      <c r="U1430" s="631"/>
      <c r="V1430" s="631"/>
      <c r="Y1430" s="631">
        <v>0</v>
      </c>
      <c r="Z1430" s="631"/>
      <c r="AA1430" s="631"/>
      <c r="AB1430" s="631"/>
      <c r="AC1430" s="631"/>
      <c r="AD1430" s="631"/>
      <c r="AF1430" s="627">
        <v>622.46</v>
      </c>
      <c r="AG1430" s="627"/>
      <c r="AH1430" s="627"/>
      <c r="AI1430" s="627"/>
      <c r="AJ1430" s="627"/>
      <c r="AK1430" s="627"/>
      <c r="AL1430" s="627"/>
    </row>
    <row r="1431" spans="1:38" ht="11.1" customHeight="1" x14ac:dyDescent="0.25">
      <c r="A1431" s="630" t="s">
        <v>4649</v>
      </c>
      <c r="B1431" s="630"/>
      <c r="C1431" s="630"/>
      <c r="M1431" s="630" t="s">
        <v>1672</v>
      </c>
      <c r="N1431" s="630"/>
      <c r="O1431" s="630"/>
      <c r="P1431" s="630"/>
      <c r="Q1431" s="627">
        <v>136</v>
      </c>
      <c r="R1431" s="627"/>
      <c r="T1431" s="631">
        <v>0</v>
      </c>
      <c r="U1431" s="631"/>
      <c r="V1431" s="631"/>
      <c r="Y1431" s="631">
        <v>0</v>
      </c>
      <c r="Z1431" s="631"/>
      <c r="AA1431" s="631"/>
      <c r="AB1431" s="631"/>
      <c r="AC1431" s="631"/>
      <c r="AD1431" s="631"/>
      <c r="AF1431" s="627">
        <v>136</v>
      </c>
      <c r="AG1431" s="627"/>
      <c r="AH1431" s="627"/>
      <c r="AI1431" s="627"/>
      <c r="AJ1431" s="627"/>
      <c r="AK1431" s="627"/>
      <c r="AL1431" s="627"/>
    </row>
    <row r="1432" spans="1:38" ht="11.1" customHeight="1" x14ac:dyDescent="0.25">
      <c r="A1432" s="630" t="s">
        <v>4650</v>
      </c>
      <c r="B1432" s="630"/>
      <c r="C1432" s="630"/>
      <c r="M1432" s="630" t="s">
        <v>1877</v>
      </c>
      <c r="N1432" s="630"/>
      <c r="O1432" s="630"/>
      <c r="P1432" s="630"/>
      <c r="Q1432" s="627">
        <v>4532</v>
      </c>
      <c r="R1432" s="627"/>
      <c r="T1432" s="631">
        <v>0</v>
      </c>
      <c r="U1432" s="631"/>
      <c r="V1432" s="631"/>
      <c r="Y1432" s="631">
        <v>0</v>
      </c>
      <c r="Z1432" s="631"/>
      <c r="AA1432" s="631"/>
      <c r="AB1432" s="631"/>
      <c r="AC1432" s="631"/>
      <c r="AD1432" s="631"/>
      <c r="AF1432" s="627">
        <v>4532</v>
      </c>
      <c r="AG1432" s="627"/>
      <c r="AH1432" s="627"/>
      <c r="AI1432" s="627"/>
      <c r="AJ1432" s="627"/>
      <c r="AK1432" s="627"/>
      <c r="AL1432" s="627"/>
    </row>
    <row r="1433" spans="1:38" ht="11.1" customHeight="1" x14ac:dyDescent="0.25">
      <c r="A1433" s="630" t="s">
        <v>4651</v>
      </c>
      <c r="B1433" s="630"/>
      <c r="C1433" s="630"/>
      <c r="M1433" s="630" t="s">
        <v>2248</v>
      </c>
      <c r="N1433" s="630"/>
      <c r="O1433" s="630"/>
      <c r="P1433" s="630"/>
      <c r="Q1433" s="627">
        <v>2438.83</v>
      </c>
      <c r="R1433" s="627"/>
      <c r="T1433" s="631">
        <v>169.77</v>
      </c>
      <c r="U1433" s="631"/>
      <c r="V1433" s="631"/>
      <c r="Y1433" s="631">
        <v>0</v>
      </c>
      <c r="Z1433" s="631"/>
      <c r="AA1433" s="631"/>
      <c r="AB1433" s="631"/>
      <c r="AC1433" s="631"/>
      <c r="AD1433" s="631"/>
      <c r="AF1433" s="627">
        <v>2608.6</v>
      </c>
      <c r="AG1433" s="627"/>
      <c r="AH1433" s="627"/>
      <c r="AI1433" s="627"/>
      <c r="AJ1433" s="627"/>
      <c r="AK1433" s="627"/>
      <c r="AL1433" s="627"/>
    </row>
    <row r="1434" spans="1:38" ht="11.1" customHeight="1" x14ac:dyDescent="0.25">
      <c r="A1434" s="630" t="s">
        <v>4652</v>
      </c>
      <c r="B1434" s="630"/>
      <c r="C1434" s="630"/>
      <c r="K1434" s="630" t="s">
        <v>331</v>
      </c>
      <c r="L1434" s="630"/>
      <c r="M1434" s="630"/>
      <c r="N1434" s="630"/>
      <c r="O1434" s="630"/>
      <c r="P1434" s="630"/>
      <c r="Q1434" s="627">
        <v>8471</v>
      </c>
      <c r="R1434" s="627"/>
      <c r="T1434" s="631">
        <v>1938.65</v>
      </c>
      <c r="U1434" s="631"/>
      <c r="V1434" s="631"/>
      <c r="Y1434" s="631">
        <v>0</v>
      </c>
      <c r="Z1434" s="631"/>
      <c r="AA1434" s="631"/>
      <c r="AB1434" s="631"/>
      <c r="AC1434" s="631"/>
      <c r="AD1434" s="631"/>
      <c r="AF1434" s="627">
        <v>10409.65</v>
      </c>
      <c r="AG1434" s="627"/>
      <c r="AH1434" s="627"/>
      <c r="AI1434" s="627"/>
      <c r="AJ1434" s="627"/>
      <c r="AK1434" s="627"/>
      <c r="AL1434" s="627"/>
    </row>
    <row r="1435" spans="1:38" ht="11.1" customHeight="1" x14ac:dyDescent="0.25">
      <c r="A1435" s="630" t="s">
        <v>4653</v>
      </c>
      <c r="B1435" s="630"/>
      <c r="C1435" s="630"/>
      <c r="M1435" s="630" t="s">
        <v>1664</v>
      </c>
      <c r="N1435" s="630"/>
      <c r="O1435" s="630"/>
      <c r="P1435" s="630"/>
      <c r="Q1435" s="627">
        <v>6829.15</v>
      </c>
      <c r="R1435" s="627"/>
      <c r="T1435" s="631">
        <v>1888.19</v>
      </c>
      <c r="U1435" s="631"/>
      <c r="V1435" s="631"/>
      <c r="Y1435" s="631">
        <v>0</v>
      </c>
      <c r="Z1435" s="631"/>
      <c r="AA1435" s="631"/>
      <c r="AB1435" s="631"/>
      <c r="AC1435" s="631"/>
      <c r="AD1435" s="631"/>
      <c r="AF1435" s="627">
        <v>8717.34</v>
      </c>
      <c r="AG1435" s="627"/>
      <c r="AH1435" s="627"/>
      <c r="AI1435" s="627"/>
      <c r="AJ1435" s="627"/>
      <c r="AK1435" s="627"/>
      <c r="AL1435" s="627"/>
    </row>
    <row r="1436" spans="1:38" ht="11.1" customHeight="1" x14ac:dyDescent="0.25">
      <c r="A1436" s="630" t="s">
        <v>4654</v>
      </c>
      <c r="B1436" s="630"/>
      <c r="C1436" s="630"/>
      <c r="L1436" s="630" t="s">
        <v>335</v>
      </c>
      <c r="M1436" s="630"/>
      <c r="N1436" s="630"/>
      <c r="O1436" s="630"/>
      <c r="P1436" s="630"/>
      <c r="Q1436" s="627">
        <v>1641.85</v>
      </c>
      <c r="R1436" s="627"/>
      <c r="T1436" s="631">
        <v>50.46</v>
      </c>
      <c r="U1436" s="631"/>
      <c r="V1436" s="631"/>
      <c r="Y1436" s="631">
        <v>0</v>
      </c>
      <c r="Z1436" s="631"/>
      <c r="AA1436" s="631"/>
      <c r="AB1436" s="631"/>
      <c r="AC1436" s="631"/>
      <c r="AD1436" s="631"/>
      <c r="AF1436" s="627">
        <v>1692.31</v>
      </c>
      <c r="AG1436" s="627"/>
      <c r="AH1436" s="627"/>
      <c r="AI1436" s="627"/>
      <c r="AJ1436" s="627"/>
      <c r="AK1436" s="627"/>
      <c r="AL1436" s="627"/>
    </row>
    <row r="1437" spans="1:38" ht="11.1" customHeight="1" x14ac:dyDescent="0.25">
      <c r="A1437" s="630" t="s">
        <v>4655</v>
      </c>
      <c r="B1437" s="630"/>
      <c r="C1437" s="630"/>
      <c r="M1437" s="630" t="s">
        <v>1664</v>
      </c>
      <c r="N1437" s="630"/>
      <c r="O1437" s="630"/>
      <c r="P1437" s="630"/>
      <c r="Q1437" s="627">
        <v>966.27</v>
      </c>
      <c r="R1437" s="627"/>
      <c r="T1437" s="631">
        <v>0</v>
      </c>
      <c r="U1437" s="631"/>
      <c r="V1437" s="631"/>
      <c r="Y1437" s="631">
        <v>0</v>
      </c>
      <c r="Z1437" s="631"/>
      <c r="AA1437" s="631"/>
      <c r="AB1437" s="631"/>
      <c r="AC1437" s="631"/>
      <c r="AD1437" s="631"/>
      <c r="AF1437" s="627">
        <v>966.27</v>
      </c>
      <c r="AG1437" s="627"/>
      <c r="AH1437" s="627"/>
      <c r="AI1437" s="627"/>
      <c r="AJ1437" s="627"/>
      <c r="AK1437" s="627"/>
      <c r="AL1437" s="627"/>
    </row>
    <row r="1438" spans="1:38" ht="11.1" customHeight="1" x14ac:dyDescent="0.25">
      <c r="A1438" s="630" t="s">
        <v>4656</v>
      </c>
      <c r="B1438" s="630"/>
      <c r="C1438" s="630"/>
      <c r="M1438" s="630" t="s">
        <v>2516</v>
      </c>
      <c r="N1438" s="630"/>
      <c r="O1438" s="630"/>
      <c r="P1438" s="630"/>
      <c r="Q1438" s="627">
        <v>304.63</v>
      </c>
      <c r="R1438" s="627"/>
      <c r="T1438" s="631">
        <v>0</v>
      </c>
      <c r="U1438" s="631"/>
      <c r="V1438" s="631"/>
      <c r="Y1438" s="631">
        <v>0</v>
      </c>
      <c r="Z1438" s="631"/>
      <c r="AA1438" s="631"/>
      <c r="AB1438" s="631"/>
      <c r="AC1438" s="631"/>
      <c r="AD1438" s="631"/>
      <c r="AF1438" s="627">
        <v>304.63</v>
      </c>
      <c r="AG1438" s="627"/>
      <c r="AH1438" s="627"/>
      <c r="AI1438" s="627"/>
      <c r="AJ1438" s="627"/>
      <c r="AK1438" s="627"/>
      <c r="AL1438" s="627"/>
    </row>
    <row r="1439" spans="1:38" ht="11.1" customHeight="1" x14ac:dyDescent="0.25">
      <c r="A1439" s="630" t="s">
        <v>4657</v>
      </c>
      <c r="B1439" s="630"/>
      <c r="C1439" s="630"/>
      <c r="M1439" s="630" t="s">
        <v>1674</v>
      </c>
      <c r="N1439" s="630"/>
      <c r="O1439" s="630"/>
      <c r="P1439" s="630"/>
      <c r="Q1439" s="627">
        <v>370.95</v>
      </c>
      <c r="R1439" s="627"/>
      <c r="T1439" s="631">
        <v>0</v>
      </c>
      <c r="U1439" s="631"/>
      <c r="V1439" s="631"/>
      <c r="Y1439" s="631">
        <v>0</v>
      </c>
      <c r="Z1439" s="631"/>
      <c r="AA1439" s="631"/>
      <c r="AB1439" s="631"/>
      <c r="AC1439" s="631"/>
      <c r="AD1439" s="631"/>
      <c r="AF1439" s="627">
        <v>370.95</v>
      </c>
      <c r="AG1439" s="627"/>
      <c r="AH1439" s="627"/>
      <c r="AI1439" s="627"/>
      <c r="AJ1439" s="627"/>
      <c r="AK1439" s="627"/>
      <c r="AL1439" s="627"/>
    </row>
    <row r="1440" spans="1:38" ht="11.1" customHeight="1" x14ac:dyDescent="0.25">
      <c r="A1440" s="630" t="s">
        <v>4658</v>
      </c>
      <c r="B1440" s="630"/>
      <c r="C1440" s="630"/>
      <c r="M1440" s="630" t="s">
        <v>2518</v>
      </c>
      <c r="N1440" s="630"/>
      <c r="O1440" s="630"/>
      <c r="P1440" s="630"/>
      <c r="Q1440" s="627">
        <v>0</v>
      </c>
      <c r="R1440" s="627"/>
      <c r="T1440" s="631">
        <v>50.46</v>
      </c>
      <c r="U1440" s="631"/>
      <c r="V1440" s="631"/>
      <c r="Y1440" s="631">
        <v>0</v>
      </c>
      <c r="Z1440" s="631"/>
      <c r="AA1440" s="631"/>
      <c r="AB1440" s="631"/>
      <c r="AC1440" s="631"/>
      <c r="AD1440" s="631"/>
      <c r="AF1440" s="627">
        <v>50.46</v>
      </c>
      <c r="AG1440" s="627"/>
      <c r="AH1440" s="627"/>
      <c r="AI1440" s="627"/>
      <c r="AJ1440" s="627"/>
      <c r="AK1440" s="627"/>
      <c r="AL1440" s="627"/>
    </row>
    <row r="1441" spans="1:38" ht="11.1" customHeight="1" x14ac:dyDescent="0.25">
      <c r="A1441" s="632" t="s">
        <v>4659</v>
      </c>
      <c r="B1441" s="632"/>
      <c r="C1441" s="632"/>
      <c r="J1441" s="632" t="s">
        <v>1677</v>
      </c>
      <c r="K1441" s="632"/>
      <c r="L1441" s="632"/>
      <c r="M1441" s="632"/>
      <c r="N1441" s="632"/>
      <c r="O1441" s="632"/>
      <c r="P1441" s="632"/>
      <c r="Q1441" s="633">
        <v>1625736.8</v>
      </c>
      <c r="R1441" s="633"/>
      <c r="T1441" s="634">
        <v>357470.76</v>
      </c>
      <c r="U1441" s="634"/>
      <c r="V1441" s="634"/>
      <c r="Y1441" s="634">
        <v>0</v>
      </c>
      <c r="Z1441" s="634"/>
      <c r="AA1441" s="634"/>
      <c r="AB1441" s="634"/>
      <c r="AC1441" s="634"/>
      <c r="AD1441" s="634"/>
      <c r="AF1441" s="633">
        <v>1983207.56</v>
      </c>
      <c r="AG1441" s="633"/>
      <c r="AH1441" s="633"/>
      <c r="AI1441" s="633"/>
      <c r="AJ1441" s="633"/>
      <c r="AK1441" s="633"/>
      <c r="AL1441" s="633"/>
    </row>
    <row r="1442" spans="1:38" ht="11.1" customHeight="1" x14ac:dyDescent="0.25">
      <c r="A1442" s="630" t="s">
        <v>4660</v>
      </c>
      <c r="B1442" s="630"/>
      <c r="C1442" s="630"/>
      <c r="K1442" s="630" t="s">
        <v>1677</v>
      </c>
      <c r="L1442" s="630"/>
      <c r="M1442" s="630"/>
      <c r="N1442" s="630"/>
      <c r="O1442" s="630"/>
      <c r="P1442" s="630"/>
      <c r="Q1442" s="627">
        <v>1625736.8</v>
      </c>
      <c r="R1442" s="627"/>
      <c r="T1442" s="631">
        <v>357470.76</v>
      </c>
      <c r="U1442" s="631"/>
      <c r="V1442" s="631"/>
      <c r="Y1442" s="631">
        <v>0</v>
      </c>
      <c r="Z1442" s="631"/>
      <c r="AA1442" s="631"/>
      <c r="AB1442" s="631"/>
      <c r="AC1442" s="631"/>
      <c r="AD1442" s="631"/>
      <c r="AF1442" s="627">
        <v>1983207.56</v>
      </c>
      <c r="AG1442" s="627"/>
      <c r="AH1442" s="627"/>
      <c r="AI1442" s="627"/>
      <c r="AJ1442" s="627"/>
      <c r="AK1442" s="627"/>
      <c r="AL1442" s="627"/>
    </row>
    <row r="1443" spans="1:38" ht="11.1" customHeight="1" x14ac:dyDescent="0.25">
      <c r="A1443" s="630" t="s">
        <v>4661</v>
      </c>
      <c r="B1443" s="630"/>
      <c r="C1443" s="630"/>
      <c r="L1443" s="630" t="s">
        <v>2294</v>
      </c>
      <c r="M1443" s="630"/>
      <c r="N1443" s="630"/>
      <c r="O1443" s="630"/>
      <c r="P1443" s="630"/>
      <c r="Q1443" s="627">
        <v>969267.41</v>
      </c>
      <c r="R1443" s="627"/>
      <c r="T1443" s="631">
        <v>292761.92</v>
      </c>
      <c r="U1443" s="631"/>
      <c r="V1443" s="631"/>
      <c r="Y1443" s="631">
        <v>0</v>
      </c>
      <c r="Z1443" s="631"/>
      <c r="AA1443" s="631"/>
      <c r="AB1443" s="631"/>
      <c r="AC1443" s="631"/>
      <c r="AD1443" s="631"/>
      <c r="AF1443" s="627">
        <v>1262029.33</v>
      </c>
      <c r="AG1443" s="627"/>
      <c r="AH1443" s="627"/>
      <c r="AI1443" s="627"/>
      <c r="AJ1443" s="627"/>
      <c r="AK1443" s="627"/>
      <c r="AL1443" s="627"/>
    </row>
    <row r="1444" spans="1:38" ht="11.1" customHeight="1" x14ac:dyDescent="0.25">
      <c r="A1444" s="630" t="s">
        <v>4662</v>
      </c>
      <c r="B1444" s="630"/>
      <c r="C1444" s="630"/>
      <c r="M1444" s="630" t="s">
        <v>2330</v>
      </c>
      <c r="N1444" s="630"/>
      <c r="O1444" s="630"/>
      <c r="P1444" s="630"/>
      <c r="Q1444" s="627">
        <v>8485</v>
      </c>
      <c r="R1444" s="627"/>
      <c r="T1444" s="631">
        <v>25</v>
      </c>
      <c r="U1444" s="631"/>
      <c r="V1444" s="631"/>
      <c r="Y1444" s="631">
        <v>0</v>
      </c>
      <c r="Z1444" s="631"/>
      <c r="AA1444" s="631"/>
      <c r="AB1444" s="631"/>
      <c r="AC1444" s="631"/>
      <c r="AD1444" s="631"/>
      <c r="AF1444" s="627">
        <v>8510</v>
      </c>
      <c r="AG1444" s="627"/>
      <c r="AH1444" s="627"/>
      <c r="AI1444" s="627"/>
      <c r="AJ1444" s="627"/>
      <c r="AK1444" s="627"/>
      <c r="AL1444" s="627"/>
    </row>
    <row r="1445" spans="1:38" ht="11.1" customHeight="1" x14ac:dyDescent="0.25">
      <c r="A1445" s="630" t="s">
        <v>4663</v>
      </c>
      <c r="B1445" s="630"/>
      <c r="C1445" s="630"/>
      <c r="M1445" s="630" t="s">
        <v>2328</v>
      </c>
      <c r="N1445" s="630"/>
      <c r="O1445" s="630"/>
      <c r="P1445" s="630"/>
      <c r="Q1445" s="627">
        <v>743473.13</v>
      </c>
      <c r="R1445" s="627"/>
      <c r="T1445" s="631">
        <v>80234.73</v>
      </c>
      <c r="U1445" s="631"/>
      <c r="V1445" s="631"/>
      <c r="Y1445" s="631">
        <v>0</v>
      </c>
      <c r="Z1445" s="631"/>
      <c r="AA1445" s="631"/>
      <c r="AB1445" s="631"/>
      <c r="AC1445" s="631"/>
      <c r="AD1445" s="631"/>
      <c r="AF1445" s="627">
        <v>823707.86</v>
      </c>
      <c r="AG1445" s="627"/>
      <c r="AH1445" s="627"/>
      <c r="AI1445" s="627"/>
      <c r="AJ1445" s="627"/>
      <c r="AK1445" s="627"/>
      <c r="AL1445" s="627"/>
    </row>
    <row r="1446" spans="1:38" ht="11.1" customHeight="1" x14ac:dyDescent="0.25">
      <c r="A1446" s="630" t="s">
        <v>4664</v>
      </c>
      <c r="B1446" s="630"/>
      <c r="C1446" s="630"/>
      <c r="M1446" s="630" t="s">
        <v>2521</v>
      </c>
      <c r="N1446" s="630"/>
      <c r="O1446" s="630"/>
      <c r="P1446" s="630"/>
      <c r="Q1446" s="627">
        <v>34960.01</v>
      </c>
      <c r="R1446" s="627"/>
      <c r="T1446" s="631">
        <v>2912.02</v>
      </c>
      <c r="U1446" s="631"/>
      <c r="V1446" s="631"/>
      <c r="Y1446" s="631">
        <v>0</v>
      </c>
      <c r="Z1446" s="631"/>
      <c r="AA1446" s="631"/>
      <c r="AB1446" s="631"/>
      <c r="AC1446" s="631"/>
      <c r="AD1446" s="631"/>
      <c r="AF1446" s="627">
        <v>37872.03</v>
      </c>
      <c r="AG1446" s="627"/>
      <c r="AH1446" s="627"/>
      <c r="AI1446" s="627"/>
      <c r="AJ1446" s="627"/>
      <c r="AK1446" s="627"/>
      <c r="AL1446" s="627"/>
    </row>
    <row r="1447" spans="1:38" ht="11.1" customHeight="1" x14ac:dyDescent="0.25">
      <c r="A1447" s="630" t="s">
        <v>4665</v>
      </c>
      <c r="B1447" s="630"/>
      <c r="C1447" s="630"/>
      <c r="M1447" s="630" t="s">
        <v>2523</v>
      </c>
      <c r="N1447" s="630"/>
      <c r="O1447" s="630"/>
      <c r="P1447" s="630"/>
      <c r="Q1447" s="627">
        <v>174041.45</v>
      </c>
      <c r="R1447" s="627"/>
      <c r="T1447" s="631">
        <v>209590.17</v>
      </c>
      <c r="U1447" s="631"/>
      <c r="V1447" s="631"/>
      <c r="Y1447" s="631">
        <v>0</v>
      </c>
      <c r="Z1447" s="631"/>
      <c r="AA1447" s="631"/>
      <c r="AB1447" s="631"/>
      <c r="AC1447" s="631"/>
      <c r="AD1447" s="631"/>
      <c r="AF1447" s="627">
        <v>383631.62</v>
      </c>
      <c r="AG1447" s="627"/>
      <c r="AH1447" s="627"/>
      <c r="AI1447" s="627"/>
      <c r="AJ1447" s="627"/>
      <c r="AK1447" s="627"/>
      <c r="AL1447" s="627"/>
    </row>
    <row r="1448" spans="1:38" ht="11.1" customHeight="1" x14ac:dyDescent="0.25">
      <c r="A1448" s="630" t="s">
        <v>4666</v>
      </c>
      <c r="B1448" s="630"/>
      <c r="C1448" s="630"/>
      <c r="M1448" s="630" t="s">
        <v>2525</v>
      </c>
      <c r="N1448" s="630"/>
      <c r="O1448" s="630"/>
      <c r="P1448" s="630"/>
      <c r="Q1448" s="627">
        <v>8307.82</v>
      </c>
      <c r="R1448" s="627"/>
      <c r="T1448" s="631">
        <v>0</v>
      </c>
      <c r="U1448" s="631"/>
      <c r="V1448" s="631"/>
      <c r="Y1448" s="631">
        <v>0</v>
      </c>
      <c r="Z1448" s="631"/>
      <c r="AA1448" s="631"/>
      <c r="AB1448" s="631"/>
      <c r="AC1448" s="631"/>
      <c r="AD1448" s="631"/>
      <c r="AF1448" s="627">
        <v>8307.82</v>
      </c>
      <c r="AG1448" s="627"/>
      <c r="AH1448" s="627"/>
      <c r="AI1448" s="627"/>
      <c r="AJ1448" s="627"/>
      <c r="AK1448" s="627"/>
      <c r="AL1448" s="627"/>
    </row>
    <row r="1449" spans="1:38" ht="11.1" customHeight="1" x14ac:dyDescent="0.25">
      <c r="A1449" s="630" t="s">
        <v>4667</v>
      </c>
      <c r="B1449" s="630"/>
      <c r="C1449" s="630"/>
      <c r="L1449" s="630" t="s">
        <v>335</v>
      </c>
      <c r="M1449" s="630"/>
      <c r="N1449" s="630"/>
      <c r="O1449" s="630"/>
      <c r="P1449" s="630"/>
      <c r="Q1449" s="627">
        <v>656469.39</v>
      </c>
      <c r="R1449" s="627"/>
      <c r="T1449" s="631">
        <v>64708.84</v>
      </c>
      <c r="U1449" s="631"/>
      <c r="V1449" s="631"/>
      <c r="Y1449" s="631">
        <v>0</v>
      </c>
      <c r="Z1449" s="631"/>
      <c r="AA1449" s="631"/>
      <c r="AB1449" s="631"/>
      <c r="AC1449" s="631"/>
      <c r="AD1449" s="631"/>
      <c r="AF1449" s="627">
        <v>721178.23</v>
      </c>
      <c r="AG1449" s="627"/>
      <c r="AH1449" s="627"/>
      <c r="AI1449" s="627"/>
      <c r="AJ1449" s="627"/>
      <c r="AK1449" s="627"/>
      <c r="AL1449" s="627"/>
    </row>
    <row r="1450" spans="1:38" ht="11.1" customHeight="1" x14ac:dyDescent="0.25">
      <c r="A1450" s="630" t="s">
        <v>4668</v>
      </c>
      <c r="B1450" s="630"/>
      <c r="C1450" s="630"/>
      <c r="M1450" s="630" t="s">
        <v>1680</v>
      </c>
      <c r="N1450" s="630"/>
      <c r="O1450" s="630"/>
      <c r="P1450" s="630"/>
      <c r="Q1450" s="627">
        <v>246605.22</v>
      </c>
      <c r="R1450" s="627"/>
      <c r="T1450" s="631">
        <v>33485.160000000003</v>
      </c>
      <c r="U1450" s="631"/>
      <c r="V1450" s="631"/>
      <c r="Y1450" s="631">
        <v>0</v>
      </c>
      <c r="Z1450" s="631"/>
      <c r="AA1450" s="631"/>
      <c r="AB1450" s="631"/>
      <c r="AC1450" s="631"/>
      <c r="AD1450" s="631"/>
      <c r="AF1450" s="627">
        <v>280090.38</v>
      </c>
      <c r="AG1450" s="627"/>
      <c r="AH1450" s="627"/>
      <c r="AI1450" s="627"/>
      <c r="AJ1450" s="627"/>
      <c r="AK1450" s="627"/>
      <c r="AL1450" s="627"/>
    </row>
    <row r="1451" spans="1:38" ht="11.1" customHeight="1" x14ac:dyDescent="0.25">
      <c r="A1451" s="630" t="s">
        <v>4669</v>
      </c>
      <c r="B1451" s="630"/>
      <c r="C1451" s="630"/>
      <c r="M1451" s="630" t="s">
        <v>2249</v>
      </c>
      <c r="N1451" s="630"/>
      <c r="O1451" s="630"/>
      <c r="P1451" s="630"/>
      <c r="Q1451" s="627">
        <v>7181.37</v>
      </c>
      <c r="R1451" s="627"/>
      <c r="T1451" s="631">
        <v>1425.66</v>
      </c>
      <c r="U1451" s="631"/>
      <c r="V1451" s="631"/>
      <c r="Y1451" s="631">
        <v>0</v>
      </c>
      <c r="Z1451" s="631"/>
      <c r="AA1451" s="631"/>
      <c r="AB1451" s="631"/>
      <c r="AC1451" s="631"/>
      <c r="AD1451" s="631"/>
      <c r="AF1451" s="627">
        <v>8607.0300000000007</v>
      </c>
      <c r="AG1451" s="627"/>
      <c r="AH1451" s="627"/>
      <c r="AI1451" s="627"/>
      <c r="AJ1451" s="627"/>
      <c r="AK1451" s="627"/>
      <c r="AL1451" s="627"/>
    </row>
    <row r="1452" spans="1:38" ht="11.1" customHeight="1" x14ac:dyDescent="0.25">
      <c r="A1452" s="630" t="s">
        <v>4670</v>
      </c>
      <c r="B1452" s="630"/>
      <c r="C1452" s="630"/>
      <c r="M1452" s="630" t="s">
        <v>2253</v>
      </c>
      <c r="N1452" s="630"/>
      <c r="O1452" s="630"/>
      <c r="P1452" s="630"/>
      <c r="Q1452" s="627">
        <v>3780</v>
      </c>
      <c r="R1452" s="627"/>
      <c r="T1452" s="631">
        <v>1780</v>
      </c>
      <c r="U1452" s="631"/>
      <c r="V1452" s="631"/>
      <c r="Y1452" s="631">
        <v>0</v>
      </c>
      <c r="Z1452" s="631"/>
      <c r="AA1452" s="631"/>
      <c r="AB1452" s="631"/>
      <c r="AC1452" s="631"/>
      <c r="AD1452" s="631"/>
      <c r="AF1452" s="627">
        <v>5560</v>
      </c>
      <c r="AG1452" s="627"/>
      <c r="AH1452" s="627"/>
      <c r="AI1452" s="627"/>
      <c r="AJ1452" s="627"/>
      <c r="AK1452" s="627"/>
      <c r="AL1452" s="627"/>
    </row>
    <row r="1453" spans="1:38" ht="11.1" customHeight="1" x14ac:dyDescent="0.25">
      <c r="A1453" s="630" t="s">
        <v>4671</v>
      </c>
      <c r="B1453" s="630"/>
      <c r="C1453" s="630"/>
      <c r="M1453" s="630" t="s">
        <v>1888</v>
      </c>
      <c r="N1453" s="630"/>
      <c r="O1453" s="630"/>
      <c r="P1453" s="630"/>
      <c r="Q1453" s="627">
        <v>479.32</v>
      </c>
      <c r="R1453" s="627"/>
      <c r="T1453" s="631">
        <v>42.44</v>
      </c>
      <c r="U1453" s="631"/>
      <c r="V1453" s="631"/>
      <c r="Y1453" s="631">
        <v>0</v>
      </c>
      <c r="Z1453" s="631"/>
      <c r="AA1453" s="631"/>
      <c r="AB1453" s="631"/>
      <c r="AC1453" s="631"/>
      <c r="AD1453" s="631"/>
      <c r="AF1453" s="627">
        <v>521.76</v>
      </c>
      <c r="AG1453" s="627"/>
      <c r="AH1453" s="627"/>
      <c r="AI1453" s="627"/>
      <c r="AJ1453" s="627"/>
      <c r="AK1453" s="627"/>
      <c r="AL1453" s="627"/>
    </row>
    <row r="1454" spans="1:38" ht="11.1" customHeight="1" x14ac:dyDescent="0.25">
      <c r="A1454" s="630" t="s">
        <v>4672</v>
      </c>
      <c r="B1454" s="630"/>
      <c r="C1454" s="630"/>
      <c r="M1454" s="630" t="s">
        <v>1890</v>
      </c>
      <c r="N1454" s="630"/>
      <c r="O1454" s="630"/>
      <c r="P1454" s="630"/>
      <c r="Q1454" s="627">
        <v>5434.95</v>
      </c>
      <c r="R1454" s="627"/>
      <c r="T1454" s="631">
        <v>36.65</v>
      </c>
      <c r="U1454" s="631"/>
      <c r="V1454" s="631"/>
      <c r="Y1454" s="631">
        <v>0</v>
      </c>
      <c r="Z1454" s="631"/>
      <c r="AA1454" s="631"/>
      <c r="AB1454" s="631"/>
      <c r="AC1454" s="631"/>
      <c r="AD1454" s="631"/>
      <c r="AF1454" s="627">
        <v>5471.6</v>
      </c>
      <c r="AG1454" s="627"/>
      <c r="AH1454" s="627"/>
      <c r="AI1454" s="627"/>
      <c r="AJ1454" s="627"/>
      <c r="AK1454" s="627"/>
      <c r="AL1454" s="627"/>
    </row>
    <row r="1455" spans="1:38" ht="11.1" customHeight="1" x14ac:dyDescent="0.25">
      <c r="A1455" s="630" t="s">
        <v>4673</v>
      </c>
      <c r="B1455" s="630"/>
      <c r="C1455" s="630"/>
      <c r="M1455" s="630" t="s">
        <v>2254</v>
      </c>
      <c r="N1455" s="630"/>
      <c r="O1455" s="630"/>
      <c r="P1455" s="630"/>
      <c r="Q1455" s="627">
        <v>498.49</v>
      </c>
      <c r="R1455" s="627"/>
      <c r="T1455" s="631">
        <v>0</v>
      </c>
      <c r="U1455" s="631"/>
      <c r="V1455" s="631"/>
      <c r="Y1455" s="631">
        <v>0</v>
      </c>
      <c r="Z1455" s="631"/>
      <c r="AA1455" s="631"/>
      <c r="AB1455" s="631"/>
      <c r="AC1455" s="631"/>
      <c r="AD1455" s="631"/>
      <c r="AF1455" s="627">
        <v>498.49</v>
      </c>
      <c r="AG1455" s="627"/>
      <c r="AH1455" s="627"/>
      <c r="AI1455" s="627"/>
      <c r="AJ1455" s="627"/>
      <c r="AK1455" s="627"/>
      <c r="AL1455" s="627"/>
    </row>
    <row r="1456" spans="1:38" ht="11.1" customHeight="1" x14ac:dyDescent="0.25">
      <c r="A1456" s="630" t="s">
        <v>4674</v>
      </c>
      <c r="B1456" s="630"/>
      <c r="C1456" s="630"/>
      <c r="M1456" s="630" t="s">
        <v>1893</v>
      </c>
      <c r="N1456" s="630"/>
      <c r="O1456" s="630"/>
      <c r="P1456" s="630"/>
      <c r="Q1456" s="627">
        <v>1857.75</v>
      </c>
      <c r="R1456" s="627"/>
      <c r="T1456" s="631">
        <v>0</v>
      </c>
      <c r="U1456" s="631"/>
      <c r="V1456" s="631"/>
      <c r="Y1456" s="631">
        <v>0</v>
      </c>
      <c r="Z1456" s="631"/>
      <c r="AA1456" s="631"/>
      <c r="AB1456" s="631"/>
      <c r="AC1456" s="631"/>
      <c r="AD1456" s="631"/>
      <c r="AF1456" s="627">
        <v>1857.75</v>
      </c>
      <c r="AG1456" s="627"/>
      <c r="AH1456" s="627"/>
      <c r="AI1456" s="627"/>
      <c r="AJ1456" s="627"/>
      <c r="AK1456" s="627"/>
      <c r="AL1456" s="627"/>
    </row>
    <row r="1457" spans="1:38" ht="11.1" customHeight="1" x14ac:dyDescent="0.25">
      <c r="A1457" s="630" t="s">
        <v>4675</v>
      </c>
      <c r="B1457" s="630"/>
      <c r="C1457" s="630"/>
      <c r="M1457" s="630" t="s">
        <v>1895</v>
      </c>
      <c r="N1457" s="630"/>
      <c r="O1457" s="630"/>
      <c r="P1457" s="630"/>
      <c r="Q1457" s="627">
        <v>2658.25</v>
      </c>
      <c r="R1457" s="627"/>
      <c r="T1457" s="631">
        <v>0</v>
      </c>
      <c r="U1457" s="631"/>
      <c r="V1457" s="631"/>
      <c r="Y1457" s="631">
        <v>0</v>
      </c>
      <c r="Z1457" s="631"/>
      <c r="AA1457" s="631"/>
      <c r="AB1457" s="631"/>
      <c r="AC1457" s="631"/>
      <c r="AD1457" s="631"/>
      <c r="AF1457" s="627">
        <v>2658.25</v>
      </c>
      <c r="AG1457" s="627"/>
      <c r="AH1457" s="627"/>
      <c r="AI1457" s="627"/>
      <c r="AJ1457" s="627"/>
      <c r="AK1457" s="627"/>
      <c r="AL1457" s="627"/>
    </row>
    <row r="1458" spans="1:38" ht="11.1" customHeight="1" x14ac:dyDescent="0.25">
      <c r="A1458" s="630" t="s">
        <v>4676</v>
      </c>
      <c r="B1458" s="630"/>
      <c r="C1458" s="630"/>
      <c r="M1458" s="630" t="s">
        <v>1897</v>
      </c>
      <c r="N1458" s="630"/>
      <c r="O1458" s="630"/>
      <c r="P1458" s="630"/>
      <c r="Q1458" s="627">
        <v>4778.71</v>
      </c>
      <c r="R1458" s="627"/>
      <c r="T1458" s="631">
        <v>397.84</v>
      </c>
      <c r="U1458" s="631"/>
      <c r="V1458" s="631"/>
      <c r="Y1458" s="631">
        <v>0</v>
      </c>
      <c r="Z1458" s="631"/>
      <c r="AA1458" s="631"/>
      <c r="AB1458" s="631"/>
      <c r="AC1458" s="631"/>
      <c r="AD1458" s="631"/>
      <c r="AF1458" s="627">
        <v>5176.55</v>
      </c>
      <c r="AG1458" s="627"/>
      <c r="AH1458" s="627"/>
      <c r="AI1458" s="627"/>
      <c r="AJ1458" s="627"/>
      <c r="AK1458" s="627"/>
      <c r="AL1458" s="627"/>
    </row>
    <row r="1459" spans="1:38" ht="11.1" customHeight="1" x14ac:dyDescent="0.25">
      <c r="A1459" s="630" t="s">
        <v>4677</v>
      </c>
      <c r="B1459" s="630"/>
      <c r="C1459" s="630"/>
      <c r="M1459" s="630" t="s">
        <v>2330</v>
      </c>
      <c r="N1459" s="630"/>
      <c r="O1459" s="630"/>
      <c r="P1459" s="630"/>
      <c r="Q1459" s="627">
        <v>140</v>
      </c>
      <c r="R1459" s="627"/>
      <c r="T1459" s="631">
        <v>0</v>
      </c>
      <c r="U1459" s="631"/>
      <c r="V1459" s="631"/>
      <c r="Y1459" s="631">
        <v>0</v>
      </c>
      <c r="Z1459" s="631"/>
      <c r="AA1459" s="631"/>
      <c r="AB1459" s="631"/>
      <c r="AC1459" s="631"/>
      <c r="AD1459" s="631"/>
      <c r="AF1459" s="627">
        <v>140</v>
      </c>
      <c r="AG1459" s="627"/>
      <c r="AH1459" s="627"/>
      <c r="AI1459" s="627"/>
      <c r="AJ1459" s="627"/>
      <c r="AK1459" s="627"/>
      <c r="AL1459" s="627"/>
    </row>
    <row r="1460" spans="1:38" ht="11.1" customHeight="1" x14ac:dyDescent="0.25">
      <c r="A1460" s="630" t="s">
        <v>4678</v>
      </c>
      <c r="B1460" s="630"/>
      <c r="C1460" s="630"/>
      <c r="M1460" s="630" t="s">
        <v>2527</v>
      </c>
      <c r="N1460" s="630"/>
      <c r="O1460" s="630"/>
      <c r="P1460" s="630"/>
      <c r="Q1460" s="627">
        <v>2210</v>
      </c>
      <c r="R1460" s="627"/>
      <c r="T1460" s="631">
        <v>0</v>
      </c>
      <c r="U1460" s="631"/>
      <c r="V1460" s="631"/>
      <c r="Y1460" s="631">
        <v>0</v>
      </c>
      <c r="Z1460" s="631"/>
      <c r="AA1460" s="631"/>
      <c r="AB1460" s="631"/>
      <c r="AC1460" s="631"/>
      <c r="AD1460" s="631"/>
      <c r="AF1460" s="627">
        <v>2210</v>
      </c>
      <c r="AG1460" s="627"/>
      <c r="AH1460" s="627"/>
      <c r="AI1460" s="627"/>
      <c r="AJ1460" s="627"/>
      <c r="AK1460" s="627"/>
      <c r="AL1460" s="627"/>
    </row>
    <row r="1461" spans="1:38" ht="11.1" customHeight="1" x14ac:dyDescent="0.25">
      <c r="A1461" s="630" t="s">
        <v>4679</v>
      </c>
      <c r="B1461" s="630"/>
      <c r="C1461" s="630"/>
      <c r="M1461" s="630" t="s">
        <v>2529</v>
      </c>
      <c r="N1461" s="630"/>
      <c r="O1461" s="630"/>
      <c r="P1461" s="630"/>
      <c r="Q1461" s="627">
        <v>595</v>
      </c>
      <c r="R1461" s="627"/>
      <c r="T1461" s="631">
        <v>128</v>
      </c>
      <c r="U1461" s="631"/>
      <c r="V1461" s="631"/>
      <c r="Y1461" s="631">
        <v>0</v>
      </c>
      <c r="Z1461" s="631"/>
      <c r="AA1461" s="631"/>
      <c r="AB1461" s="631"/>
      <c r="AC1461" s="631"/>
      <c r="AD1461" s="631"/>
      <c r="AF1461" s="627">
        <v>723</v>
      </c>
      <c r="AG1461" s="627"/>
      <c r="AH1461" s="627"/>
      <c r="AI1461" s="627"/>
      <c r="AJ1461" s="627"/>
      <c r="AK1461" s="627"/>
      <c r="AL1461" s="627"/>
    </row>
    <row r="1462" spans="1:38" ht="11.1" customHeight="1" x14ac:dyDescent="0.25">
      <c r="A1462" s="630" t="s">
        <v>4680</v>
      </c>
      <c r="B1462" s="630"/>
      <c r="C1462" s="630"/>
      <c r="M1462" s="630" t="s">
        <v>2332</v>
      </c>
      <c r="N1462" s="630"/>
      <c r="O1462" s="630"/>
      <c r="P1462" s="630"/>
      <c r="Q1462" s="627">
        <v>89378.05</v>
      </c>
      <c r="R1462" s="627"/>
      <c r="T1462" s="631">
        <v>0</v>
      </c>
      <c r="U1462" s="631"/>
      <c r="V1462" s="631"/>
      <c r="Y1462" s="631">
        <v>0</v>
      </c>
      <c r="Z1462" s="631"/>
      <c r="AA1462" s="631"/>
      <c r="AB1462" s="631"/>
      <c r="AC1462" s="631"/>
      <c r="AD1462" s="631"/>
      <c r="AF1462" s="627">
        <v>89378.05</v>
      </c>
      <c r="AG1462" s="627"/>
      <c r="AH1462" s="627"/>
      <c r="AI1462" s="627"/>
      <c r="AJ1462" s="627"/>
      <c r="AK1462" s="627"/>
      <c r="AL1462" s="627"/>
    </row>
    <row r="1463" spans="1:38" ht="11.1" customHeight="1" x14ac:dyDescent="0.25">
      <c r="A1463" s="630" t="s">
        <v>4681</v>
      </c>
      <c r="B1463" s="630"/>
      <c r="C1463" s="630"/>
      <c r="M1463" s="630" t="s">
        <v>1899</v>
      </c>
      <c r="N1463" s="630"/>
      <c r="O1463" s="630"/>
      <c r="P1463" s="630"/>
      <c r="Q1463" s="627">
        <v>193269.56</v>
      </c>
      <c r="R1463" s="627"/>
      <c r="T1463" s="631">
        <v>19071.82</v>
      </c>
      <c r="U1463" s="631"/>
      <c r="V1463" s="631"/>
      <c r="Y1463" s="631">
        <v>0</v>
      </c>
      <c r="Z1463" s="631"/>
      <c r="AA1463" s="631"/>
      <c r="AB1463" s="631"/>
      <c r="AC1463" s="631"/>
      <c r="AD1463" s="631"/>
      <c r="AF1463" s="627">
        <v>212341.38</v>
      </c>
      <c r="AG1463" s="627"/>
      <c r="AH1463" s="627"/>
      <c r="AI1463" s="627"/>
      <c r="AJ1463" s="627"/>
      <c r="AK1463" s="627"/>
      <c r="AL1463" s="627"/>
    </row>
    <row r="1464" spans="1:38" ht="11.1" customHeight="1" x14ac:dyDescent="0.25">
      <c r="A1464" s="630" t="s">
        <v>4682</v>
      </c>
      <c r="B1464" s="630"/>
      <c r="C1464" s="630"/>
      <c r="M1464" s="630" t="s">
        <v>2334</v>
      </c>
      <c r="N1464" s="630"/>
      <c r="O1464" s="630"/>
      <c r="P1464" s="630"/>
      <c r="Q1464" s="627">
        <v>3219.54</v>
      </c>
      <c r="R1464" s="627"/>
      <c r="T1464" s="631">
        <v>1073.18</v>
      </c>
      <c r="U1464" s="631"/>
      <c r="V1464" s="631"/>
      <c r="Y1464" s="631">
        <v>0</v>
      </c>
      <c r="Z1464" s="631"/>
      <c r="AA1464" s="631"/>
      <c r="AB1464" s="631"/>
      <c r="AC1464" s="631"/>
      <c r="AD1464" s="631"/>
      <c r="AF1464" s="627">
        <v>4292.72</v>
      </c>
      <c r="AG1464" s="627"/>
      <c r="AH1464" s="627"/>
      <c r="AI1464" s="627"/>
      <c r="AJ1464" s="627"/>
      <c r="AK1464" s="627"/>
      <c r="AL1464" s="627"/>
    </row>
    <row r="1465" spans="1:38" ht="11.1" customHeight="1" x14ac:dyDescent="0.25">
      <c r="A1465" s="630" t="s">
        <v>4683</v>
      </c>
      <c r="B1465" s="630"/>
      <c r="C1465" s="630"/>
      <c r="M1465" s="630" t="s">
        <v>1901</v>
      </c>
      <c r="N1465" s="630"/>
      <c r="O1465" s="630"/>
      <c r="P1465" s="630"/>
      <c r="Q1465" s="627">
        <v>71206.59</v>
      </c>
      <c r="R1465" s="627"/>
      <c r="T1465" s="631">
        <v>1105.5</v>
      </c>
      <c r="U1465" s="631"/>
      <c r="V1465" s="631"/>
      <c r="Y1465" s="631">
        <v>0</v>
      </c>
      <c r="Z1465" s="631"/>
      <c r="AA1465" s="631"/>
      <c r="AB1465" s="631"/>
      <c r="AC1465" s="631"/>
      <c r="AD1465" s="631"/>
      <c r="AF1465" s="627">
        <v>72312.09</v>
      </c>
      <c r="AG1465" s="627"/>
      <c r="AH1465" s="627"/>
      <c r="AI1465" s="627"/>
      <c r="AJ1465" s="627"/>
      <c r="AK1465" s="627"/>
      <c r="AL1465" s="627"/>
    </row>
    <row r="1466" spans="1:38" ht="11.1" customHeight="1" x14ac:dyDescent="0.25">
      <c r="A1466" s="630" t="s">
        <v>4684</v>
      </c>
      <c r="B1466" s="630"/>
      <c r="C1466" s="630"/>
      <c r="M1466" s="630" t="s">
        <v>1903</v>
      </c>
      <c r="N1466" s="630"/>
      <c r="O1466" s="630"/>
      <c r="P1466" s="630"/>
      <c r="Q1466" s="627">
        <v>386</v>
      </c>
      <c r="R1466" s="627"/>
      <c r="T1466" s="631">
        <v>0</v>
      </c>
      <c r="U1466" s="631"/>
      <c r="V1466" s="631"/>
      <c r="Y1466" s="631">
        <v>0</v>
      </c>
      <c r="Z1466" s="631"/>
      <c r="AA1466" s="631"/>
      <c r="AB1466" s="631"/>
      <c r="AC1466" s="631"/>
      <c r="AD1466" s="631"/>
      <c r="AF1466" s="627">
        <v>386</v>
      </c>
      <c r="AG1466" s="627"/>
      <c r="AH1466" s="627"/>
      <c r="AI1466" s="627"/>
      <c r="AJ1466" s="627"/>
      <c r="AK1466" s="627"/>
      <c r="AL1466" s="627"/>
    </row>
    <row r="1467" spans="1:38" ht="11.1" customHeight="1" x14ac:dyDescent="0.25">
      <c r="A1467" s="630" t="s">
        <v>4685</v>
      </c>
      <c r="B1467" s="630"/>
      <c r="C1467" s="630"/>
      <c r="M1467" s="630" t="s">
        <v>2221</v>
      </c>
      <c r="N1467" s="630"/>
      <c r="O1467" s="630"/>
      <c r="P1467" s="630"/>
      <c r="Q1467" s="627">
        <v>104</v>
      </c>
      <c r="R1467" s="627"/>
      <c r="T1467" s="631">
        <v>0</v>
      </c>
      <c r="U1467" s="631"/>
      <c r="V1467" s="631"/>
      <c r="Y1467" s="631">
        <v>0</v>
      </c>
      <c r="Z1467" s="631"/>
      <c r="AA1467" s="631"/>
      <c r="AB1467" s="631"/>
      <c r="AC1467" s="631"/>
      <c r="AD1467" s="631"/>
      <c r="AF1467" s="627">
        <v>104</v>
      </c>
      <c r="AG1467" s="627"/>
      <c r="AH1467" s="627"/>
      <c r="AI1467" s="627"/>
      <c r="AJ1467" s="627"/>
      <c r="AK1467" s="627"/>
      <c r="AL1467" s="627"/>
    </row>
    <row r="1468" spans="1:38" ht="11.1" customHeight="1" x14ac:dyDescent="0.25">
      <c r="A1468" s="630" t="s">
        <v>4686</v>
      </c>
      <c r="B1468" s="630"/>
      <c r="C1468" s="630"/>
      <c r="M1468" s="630" t="s">
        <v>2336</v>
      </c>
      <c r="N1468" s="630"/>
      <c r="O1468" s="630"/>
      <c r="P1468" s="630"/>
      <c r="Q1468" s="627">
        <v>13500</v>
      </c>
      <c r="R1468" s="627"/>
      <c r="T1468" s="631">
        <v>4500</v>
      </c>
      <c r="U1468" s="631"/>
      <c r="V1468" s="631"/>
      <c r="Y1468" s="631">
        <v>0</v>
      </c>
      <c r="Z1468" s="631"/>
      <c r="AA1468" s="631"/>
      <c r="AB1468" s="631"/>
      <c r="AC1468" s="631"/>
      <c r="AD1468" s="631"/>
      <c r="AF1468" s="627">
        <v>18000</v>
      </c>
      <c r="AG1468" s="627"/>
      <c r="AH1468" s="627"/>
      <c r="AI1468" s="627"/>
      <c r="AJ1468" s="627"/>
      <c r="AK1468" s="627"/>
      <c r="AL1468" s="627"/>
    </row>
    <row r="1469" spans="1:38" ht="11.1" customHeight="1" x14ac:dyDescent="0.25">
      <c r="A1469" s="630" t="s">
        <v>4687</v>
      </c>
      <c r="B1469" s="630"/>
      <c r="C1469" s="630"/>
      <c r="M1469" s="630" t="s">
        <v>2532</v>
      </c>
      <c r="N1469" s="630"/>
      <c r="O1469" s="630"/>
      <c r="P1469" s="630"/>
      <c r="Q1469" s="627">
        <v>624</v>
      </c>
      <c r="R1469" s="627"/>
      <c r="T1469" s="631">
        <v>0</v>
      </c>
      <c r="U1469" s="631"/>
      <c r="V1469" s="631"/>
      <c r="Y1469" s="631">
        <v>0</v>
      </c>
      <c r="Z1469" s="631"/>
      <c r="AA1469" s="631"/>
      <c r="AB1469" s="631"/>
      <c r="AC1469" s="631"/>
      <c r="AD1469" s="631"/>
      <c r="AF1469" s="627">
        <v>624</v>
      </c>
      <c r="AG1469" s="627"/>
      <c r="AH1469" s="627"/>
      <c r="AI1469" s="627"/>
      <c r="AJ1469" s="627"/>
      <c r="AK1469" s="627"/>
      <c r="AL1469" s="627"/>
    </row>
    <row r="1470" spans="1:38" ht="11.1" customHeight="1" x14ac:dyDescent="0.25">
      <c r="A1470" s="630" t="s">
        <v>4688</v>
      </c>
      <c r="B1470" s="630"/>
      <c r="C1470" s="630"/>
      <c r="M1470" s="630" t="s">
        <v>2534</v>
      </c>
      <c r="N1470" s="630"/>
      <c r="O1470" s="630"/>
      <c r="P1470" s="630"/>
      <c r="Q1470" s="627">
        <v>249.6</v>
      </c>
      <c r="R1470" s="627"/>
      <c r="T1470" s="631">
        <v>0</v>
      </c>
      <c r="U1470" s="631"/>
      <c r="V1470" s="631"/>
      <c r="Y1470" s="631">
        <v>0</v>
      </c>
      <c r="Z1470" s="631"/>
      <c r="AA1470" s="631"/>
      <c r="AB1470" s="631"/>
      <c r="AC1470" s="631"/>
      <c r="AD1470" s="631"/>
      <c r="AF1470" s="627">
        <v>249.6</v>
      </c>
      <c r="AG1470" s="627"/>
      <c r="AH1470" s="627"/>
      <c r="AI1470" s="627"/>
      <c r="AJ1470" s="627"/>
      <c r="AK1470" s="627"/>
      <c r="AL1470" s="627"/>
    </row>
    <row r="1471" spans="1:38" ht="11.1" customHeight="1" x14ac:dyDescent="0.25">
      <c r="A1471" s="630" t="s">
        <v>4689</v>
      </c>
      <c r="B1471" s="630"/>
      <c r="C1471" s="630"/>
      <c r="M1471" s="630" t="s">
        <v>4690</v>
      </c>
      <c r="N1471" s="630"/>
      <c r="O1471" s="630"/>
      <c r="P1471" s="630"/>
      <c r="Q1471" s="627">
        <v>8312.99</v>
      </c>
      <c r="R1471" s="627"/>
      <c r="T1471" s="631">
        <v>1662.59</v>
      </c>
      <c r="U1471" s="631"/>
      <c r="V1471" s="631"/>
      <c r="Y1471" s="631">
        <v>0</v>
      </c>
      <c r="Z1471" s="631"/>
      <c r="AA1471" s="631"/>
      <c r="AB1471" s="631"/>
      <c r="AC1471" s="631"/>
      <c r="AD1471" s="631"/>
      <c r="AF1471" s="627">
        <v>9975.58</v>
      </c>
      <c r="AG1471" s="627"/>
      <c r="AH1471" s="627"/>
      <c r="AI1471" s="627"/>
      <c r="AJ1471" s="627"/>
      <c r="AK1471" s="627"/>
      <c r="AL1471" s="627"/>
    </row>
    <row r="1472" spans="1:38" ht="11.1" customHeight="1" x14ac:dyDescent="0.25">
      <c r="A1472" s="632" t="s">
        <v>4691</v>
      </c>
      <c r="B1472" s="632"/>
      <c r="C1472" s="632"/>
      <c r="J1472" s="632" t="s">
        <v>1702</v>
      </c>
      <c r="K1472" s="632"/>
      <c r="L1472" s="632"/>
      <c r="M1472" s="632"/>
      <c r="N1472" s="632"/>
      <c r="O1472" s="632"/>
      <c r="P1472" s="632"/>
      <c r="Q1472" s="633">
        <v>20465.689999999999</v>
      </c>
      <c r="R1472" s="633"/>
      <c r="T1472" s="634">
        <v>2291.44</v>
      </c>
      <c r="U1472" s="634"/>
      <c r="V1472" s="634"/>
      <c r="Y1472" s="634">
        <v>0</v>
      </c>
      <c r="Z1472" s="634"/>
      <c r="AA1472" s="634"/>
      <c r="AB1472" s="634"/>
      <c r="AC1472" s="634"/>
      <c r="AD1472" s="634"/>
      <c r="AF1472" s="633">
        <v>22757.13</v>
      </c>
      <c r="AG1472" s="633"/>
      <c r="AH1472" s="633"/>
      <c r="AI1472" s="633"/>
      <c r="AJ1472" s="633"/>
      <c r="AK1472" s="633"/>
      <c r="AL1472" s="633"/>
    </row>
    <row r="1473" spans="1:38" ht="11.1" customHeight="1" x14ac:dyDescent="0.25">
      <c r="A1473" s="630" t="s">
        <v>4692</v>
      </c>
      <c r="B1473" s="630"/>
      <c r="C1473" s="630"/>
      <c r="K1473" s="630" t="s">
        <v>1702</v>
      </c>
      <c r="L1473" s="630"/>
      <c r="M1473" s="630"/>
      <c r="N1473" s="630"/>
      <c r="O1473" s="630"/>
      <c r="P1473" s="630"/>
      <c r="Q1473" s="627">
        <v>20465.689999999999</v>
      </c>
      <c r="R1473" s="627"/>
      <c r="T1473" s="631">
        <v>2291.44</v>
      </c>
      <c r="U1473" s="631"/>
      <c r="V1473" s="631"/>
      <c r="Y1473" s="631">
        <v>0</v>
      </c>
      <c r="Z1473" s="631"/>
      <c r="AA1473" s="631"/>
      <c r="AB1473" s="631"/>
      <c r="AC1473" s="631"/>
      <c r="AD1473" s="631"/>
      <c r="AF1473" s="627">
        <v>22757.13</v>
      </c>
      <c r="AG1473" s="627"/>
      <c r="AH1473" s="627"/>
      <c r="AI1473" s="627"/>
      <c r="AJ1473" s="627"/>
      <c r="AK1473" s="627"/>
      <c r="AL1473" s="627"/>
    </row>
    <row r="1474" spans="1:38" ht="11.1" customHeight="1" x14ac:dyDescent="0.25">
      <c r="A1474" s="630" t="s">
        <v>4693</v>
      </c>
      <c r="B1474" s="630"/>
      <c r="C1474" s="630"/>
      <c r="L1474" s="630" t="s">
        <v>335</v>
      </c>
      <c r="M1474" s="630"/>
      <c r="N1474" s="630"/>
      <c r="O1474" s="630"/>
      <c r="P1474" s="630"/>
      <c r="Q1474" s="627">
        <v>20465.689999999999</v>
      </c>
      <c r="R1474" s="627"/>
      <c r="T1474" s="631">
        <v>2291.44</v>
      </c>
      <c r="U1474" s="631"/>
      <c r="V1474" s="631"/>
      <c r="Y1474" s="631">
        <v>0</v>
      </c>
      <c r="Z1474" s="631"/>
      <c r="AA1474" s="631"/>
      <c r="AB1474" s="631"/>
      <c r="AC1474" s="631"/>
      <c r="AD1474" s="631"/>
      <c r="AF1474" s="627">
        <v>22757.13</v>
      </c>
      <c r="AG1474" s="627"/>
      <c r="AH1474" s="627"/>
      <c r="AI1474" s="627"/>
      <c r="AJ1474" s="627"/>
      <c r="AK1474" s="627"/>
      <c r="AL1474" s="627"/>
    </row>
    <row r="1475" spans="1:38" ht="11.1" customHeight="1" x14ac:dyDescent="0.25">
      <c r="A1475" s="630" t="s">
        <v>4694</v>
      </c>
      <c r="B1475" s="630"/>
      <c r="C1475" s="630"/>
      <c r="M1475" s="630" t="s">
        <v>1908</v>
      </c>
      <c r="N1475" s="630"/>
      <c r="O1475" s="630"/>
      <c r="P1475" s="630"/>
      <c r="Q1475" s="627">
        <v>2721.97</v>
      </c>
      <c r="R1475" s="627"/>
      <c r="T1475" s="631">
        <v>180.53</v>
      </c>
      <c r="U1475" s="631"/>
      <c r="V1475" s="631"/>
      <c r="Y1475" s="631">
        <v>0</v>
      </c>
      <c r="Z1475" s="631"/>
      <c r="AA1475" s="631"/>
      <c r="AB1475" s="631"/>
      <c r="AC1475" s="631"/>
      <c r="AD1475" s="631"/>
      <c r="AF1475" s="627">
        <v>2902.5</v>
      </c>
      <c r="AG1475" s="627"/>
      <c r="AH1475" s="627"/>
      <c r="AI1475" s="627"/>
      <c r="AJ1475" s="627"/>
      <c r="AK1475" s="627"/>
      <c r="AL1475" s="627"/>
    </row>
    <row r="1476" spans="1:38" ht="11.1" customHeight="1" x14ac:dyDescent="0.25">
      <c r="A1476" s="630" t="s">
        <v>4695</v>
      </c>
      <c r="B1476" s="630"/>
      <c r="C1476" s="630"/>
      <c r="M1476" s="630" t="s">
        <v>1702</v>
      </c>
      <c r="N1476" s="630"/>
      <c r="O1476" s="630"/>
      <c r="P1476" s="630"/>
      <c r="Q1476" s="627">
        <v>17743.72</v>
      </c>
      <c r="R1476" s="627"/>
      <c r="T1476" s="631">
        <v>2110.91</v>
      </c>
      <c r="U1476" s="631"/>
      <c r="V1476" s="631"/>
      <c r="Y1476" s="631">
        <v>0</v>
      </c>
      <c r="Z1476" s="631"/>
      <c r="AA1476" s="631"/>
      <c r="AB1476" s="631"/>
      <c r="AC1476" s="631"/>
      <c r="AD1476" s="631"/>
      <c r="AF1476" s="627">
        <v>19854.63</v>
      </c>
      <c r="AG1476" s="627"/>
      <c r="AH1476" s="627"/>
      <c r="AI1476" s="627"/>
      <c r="AJ1476" s="627"/>
      <c r="AK1476" s="627"/>
      <c r="AL1476" s="627"/>
    </row>
    <row r="1477" spans="1:38" ht="11.1" customHeight="1" x14ac:dyDescent="0.25">
      <c r="A1477" s="632" t="s">
        <v>4696</v>
      </c>
      <c r="B1477" s="632"/>
      <c r="C1477" s="632"/>
      <c r="J1477" s="632" t="s">
        <v>1910</v>
      </c>
      <c r="K1477" s="632"/>
      <c r="L1477" s="632"/>
      <c r="M1477" s="632"/>
      <c r="N1477" s="632"/>
      <c r="O1477" s="632"/>
      <c r="P1477" s="632"/>
      <c r="Q1477" s="633">
        <v>-230276.28</v>
      </c>
      <c r="R1477" s="633"/>
      <c r="T1477" s="634">
        <v>0</v>
      </c>
      <c r="U1477" s="634"/>
      <c r="V1477" s="634"/>
      <c r="Y1477" s="634">
        <v>0</v>
      </c>
      <c r="Z1477" s="634"/>
      <c r="AA1477" s="634"/>
      <c r="AB1477" s="634"/>
      <c r="AC1477" s="634"/>
      <c r="AD1477" s="634"/>
      <c r="AF1477" s="633">
        <v>-230276.28</v>
      </c>
      <c r="AG1477" s="633"/>
      <c r="AH1477" s="633"/>
      <c r="AI1477" s="633"/>
      <c r="AJ1477" s="633"/>
      <c r="AK1477" s="633"/>
      <c r="AL1477" s="633"/>
    </row>
    <row r="1478" spans="1:38" ht="11.1" customHeight="1" x14ac:dyDescent="0.25">
      <c r="A1478" s="630" t="s">
        <v>4697</v>
      </c>
      <c r="B1478" s="630"/>
      <c r="C1478" s="630"/>
      <c r="K1478" s="630" t="s">
        <v>2959</v>
      </c>
      <c r="L1478" s="630"/>
      <c r="M1478" s="630"/>
      <c r="N1478" s="630"/>
      <c r="O1478" s="630"/>
      <c r="P1478" s="630"/>
      <c r="Q1478" s="627">
        <v>-230276.28</v>
      </c>
      <c r="R1478" s="627"/>
      <c r="T1478" s="631">
        <v>0</v>
      </c>
      <c r="U1478" s="631"/>
      <c r="V1478" s="631"/>
      <c r="Y1478" s="631">
        <v>0</v>
      </c>
      <c r="Z1478" s="631"/>
      <c r="AA1478" s="631"/>
      <c r="AB1478" s="631"/>
      <c r="AC1478" s="631"/>
      <c r="AD1478" s="631"/>
      <c r="AF1478" s="627">
        <v>-230276.28</v>
      </c>
      <c r="AG1478" s="627"/>
      <c r="AH1478" s="627"/>
      <c r="AI1478" s="627"/>
      <c r="AJ1478" s="627"/>
      <c r="AK1478" s="627"/>
      <c r="AL1478" s="627"/>
    </row>
    <row r="1479" spans="1:38" ht="11.1" customHeight="1" x14ac:dyDescent="0.25">
      <c r="A1479" s="630" t="s">
        <v>4698</v>
      </c>
      <c r="B1479" s="630"/>
      <c r="C1479" s="630"/>
      <c r="L1479" s="630" t="s">
        <v>2977</v>
      </c>
      <c r="M1479" s="630"/>
      <c r="N1479" s="630"/>
      <c r="O1479" s="630"/>
      <c r="P1479" s="630"/>
      <c r="Q1479" s="627">
        <v>-230276.28</v>
      </c>
      <c r="R1479" s="627"/>
      <c r="T1479" s="631">
        <v>0</v>
      </c>
      <c r="U1479" s="631"/>
      <c r="V1479" s="631"/>
      <c r="Y1479" s="631">
        <v>0</v>
      </c>
      <c r="Z1479" s="631"/>
      <c r="AA1479" s="631"/>
      <c r="AB1479" s="631"/>
      <c r="AC1479" s="631"/>
      <c r="AD1479" s="631"/>
      <c r="AF1479" s="627">
        <v>-230276.28</v>
      </c>
      <c r="AG1479" s="627"/>
      <c r="AH1479" s="627"/>
      <c r="AI1479" s="627"/>
      <c r="AJ1479" s="627"/>
      <c r="AK1479" s="627"/>
      <c r="AL1479" s="627"/>
    </row>
    <row r="1480" spans="1:38" ht="11.1" customHeight="1" x14ac:dyDescent="0.25">
      <c r="A1480" s="630" t="s">
        <v>4699</v>
      </c>
      <c r="B1480" s="630"/>
      <c r="C1480" s="630"/>
      <c r="M1480" s="630" t="s">
        <v>2979</v>
      </c>
      <c r="N1480" s="630"/>
      <c r="O1480" s="630"/>
      <c r="P1480" s="630"/>
      <c r="Q1480" s="627">
        <v>-230276.28</v>
      </c>
      <c r="R1480" s="627"/>
      <c r="T1480" s="631">
        <v>0</v>
      </c>
      <c r="U1480" s="631"/>
      <c r="V1480" s="631"/>
      <c r="Y1480" s="631">
        <v>0</v>
      </c>
      <c r="Z1480" s="631"/>
      <c r="AA1480" s="631"/>
      <c r="AB1480" s="631"/>
      <c r="AC1480" s="631"/>
      <c r="AD1480" s="631"/>
      <c r="AF1480" s="627">
        <v>-230276.28</v>
      </c>
      <c r="AG1480" s="627"/>
      <c r="AH1480" s="627"/>
      <c r="AI1480" s="627"/>
      <c r="AJ1480" s="627"/>
      <c r="AK1480" s="627"/>
      <c r="AL1480" s="627"/>
    </row>
    <row r="1481" spans="1:38" ht="11.1" customHeight="1" x14ac:dyDescent="0.25">
      <c r="A1481" s="632" t="s">
        <v>4700</v>
      </c>
      <c r="B1481" s="632"/>
      <c r="C1481" s="632"/>
      <c r="J1481" s="632" t="s">
        <v>1713</v>
      </c>
      <c r="K1481" s="632"/>
      <c r="L1481" s="632"/>
      <c r="M1481" s="632"/>
      <c r="N1481" s="632"/>
      <c r="O1481" s="632"/>
      <c r="P1481" s="632"/>
      <c r="Q1481" s="633">
        <v>0</v>
      </c>
      <c r="R1481" s="633"/>
      <c r="T1481" s="634">
        <v>0</v>
      </c>
      <c r="U1481" s="634"/>
      <c r="V1481" s="634"/>
      <c r="Y1481" s="634">
        <v>419.84</v>
      </c>
      <c r="Z1481" s="634"/>
      <c r="AA1481" s="634"/>
      <c r="AB1481" s="634"/>
      <c r="AC1481" s="634"/>
      <c r="AD1481" s="634"/>
      <c r="AF1481" s="633">
        <v>-419.84</v>
      </c>
      <c r="AG1481" s="633"/>
      <c r="AH1481" s="633"/>
      <c r="AI1481" s="633"/>
      <c r="AJ1481" s="633"/>
      <c r="AK1481" s="633"/>
      <c r="AL1481" s="633"/>
    </row>
    <row r="1482" spans="1:38" ht="11.1" customHeight="1" x14ac:dyDescent="0.25">
      <c r="A1482" s="630" t="s">
        <v>4701</v>
      </c>
      <c r="B1482" s="630"/>
      <c r="C1482" s="630"/>
      <c r="K1482" s="630" t="s">
        <v>1714</v>
      </c>
      <c r="L1482" s="630"/>
      <c r="M1482" s="630"/>
      <c r="N1482" s="630"/>
      <c r="O1482" s="630"/>
      <c r="P1482" s="630"/>
      <c r="Q1482" s="627">
        <v>0</v>
      </c>
      <c r="R1482" s="627"/>
      <c r="T1482" s="631">
        <v>0</v>
      </c>
      <c r="U1482" s="631"/>
      <c r="V1482" s="631"/>
      <c r="Y1482" s="631">
        <v>419.84</v>
      </c>
      <c r="Z1482" s="631"/>
      <c r="AA1482" s="631"/>
      <c r="AB1482" s="631"/>
      <c r="AC1482" s="631"/>
      <c r="AD1482" s="631"/>
      <c r="AF1482" s="627">
        <v>-419.84</v>
      </c>
      <c r="AG1482" s="627"/>
      <c r="AH1482" s="627"/>
      <c r="AI1482" s="627"/>
      <c r="AJ1482" s="627"/>
      <c r="AK1482" s="627"/>
      <c r="AL1482" s="627"/>
    </row>
    <row r="1483" spans="1:38" ht="11.1" customHeight="1" x14ac:dyDescent="0.25">
      <c r="A1483" s="630" t="s">
        <v>4702</v>
      </c>
      <c r="B1483" s="630"/>
      <c r="C1483" s="630"/>
      <c r="L1483" s="630" t="s">
        <v>335</v>
      </c>
      <c r="M1483" s="630"/>
      <c r="N1483" s="630"/>
      <c r="O1483" s="630"/>
      <c r="P1483" s="630"/>
      <c r="Q1483" s="627">
        <v>0</v>
      </c>
      <c r="R1483" s="627"/>
      <c r="T1483" s="631">
        <v>0</v>
      </c>
      <c r="U1483" s="631"/>
      <c r="V1483" s="631"/>
      <c r="Y1483" s="631">
        <v>419.84</v>
      </c>
      <c r="Z1483" s="631"/>
      <c r="AA1483" s="631"/>
      <c r="AB1483" s="631"/>
      <c r="AC1483" s="631"/>
      <c r="AD1483" s="631"/>
      <c r="AF1483" s="627">
        <v>-419.84</v>
      </c>
      <c r="AG1483" s="627"/>
      <c r="AH1483" s="627"/>
      <c r="AI1483" s="627"/>
      <c r="AJ1483" s="627"/>
      <c r="AK1483" s="627"/>
      <c r="AL1483" s="627"/>
    </row>
    <row r="1484" spans="1:38" ht="11.1" customHeight="1" x14ac:dyDescent="0.25">
      <c r="A1484" s="630" t="s">
        <v>4703</v>
      </c>
      <c r="B1484" s="630"/>
      <c r="C1484" s="630"/>
      <c r="M1484" s="630" t="s">
        <v>2981</v>
      </c>
      <c r="N1484" s="630"/>
      <c r="O1484" s="630"/>
      <c r="P1484" s="630"/>
      <c r="Q1484" s="627">
        <v>0</v>
      </c>
      <c r="R1484" s="627"/>
      <c r="T1484" s="631">
        <v>0</v>
      </c>
      <c r="U1484" s="631"/>
      <c r="V1484" s="631"/>
      <c r="Y1484" s="631">
        <v>419.84</v>
      </c>
      <c r="Z1484" s="631"/>
      <c r="AA1484" s="631"/>
      <c r="AB1484" s="631"/>
      <c r="AC1484" s="631"/>
      <c r="AD1484" s="631"/>
      <c r="AF1484" s="627">
        <v>-419.84</v>
      </c>
      <c r="AG1484" s="627"/>
      <c r="AH1484" s="627"/>
      <c r="AI1484" s="627"/>
      <c r="AJ1484" s="627"/>
      <c r="AK1484" s="627"/>
      <c r="AL1484" s="627"/>
    </row>
    <row r="1485" spans="1:38" ht="11.1" customHeight="1" x14ac:dyDescent="0.25">
      <c r="A1485" s="632" t="s">
        <v>4704</v>
      </c>
      <c r="B1485" s="632"/>
      <c r="C1485" s="632"/>
      <c r="J1485" s="632" t="s">
        <v>1042</v>
      </c>
      <c r="K1485" s="632"/>
      <c r="L1485" s="632"/>
      <c r="M1485" s="632"/>
      <c r="N1485" s="632"/>
      <c r="O1485" s="632"/>
      <c r="P1485" s="632"/>
      <c r="Q1485" s="633">
        <v>12368.12</v>
      </c>
      <c r="R1485" s="633"/>
      <c r="T1485" s="634">
        <v>444.71</v>
      </c>
      <c r="U1485" s="634"/>
      <c r="V1485" s="634"/>
      <c r="Y1485" s="634">
        <v>0</v>
      </c>
      <c r="Z1485" s="634"/>
      <c r="AA1485" s="634"/>
      <c r="AB1485" s="634"/>
      <c r="AC1485" s="634"/>
      <c r="AD1485" s="634"/>
      <c r="AF1485" s="633">
        <v>12812.83</v>
      </c>
      <c r="AG1485" s="633"/>
      <c r="AH1485" s="633"/>
      <c r="AI1485" s="633"/>
      <c r="AJ1485" s="633"/>
      <c r="AK1485" s="633"/>
      <c r="AL1485" s="633"/>
    </row>
    <row r="1486" spans="1:38" ht="11.1" customHeight="1" x14ac:dyDescent="0.25">
      <c r="A1486" s="630" t="s">
        <v>4705</v>
      </c>
      <c r="B1486" s="630"/>
      <c r="C1486" s="630"/>
      <c r="K1486" s="630" t="s">
        <v>1042</v>
      </c>
      <c r="L1486" s="630"/>
      <c r="M1486" s="630"/>
      <c r="N1486" s="630"/>
      <c r="O1486" s="630"/>
      <c r="P1486" s="630"/>
      <c r="Q1486" s="627">
        <v>12368.12</v>
      </c>
      <c r="R1486" s="627"/>
      <c r="T1486" s="631">
        <v>444.71</v>
      </c>
      <c r="U1486" s="631"/>
      <c r="V1486" s="631"/>
      <c r="Y1486" s="631">
        <v>0</v>
      </c>
      <c r="Z1486" s="631"/>
      <c r="AA1486" s="631"/>
      <c r="AB1486" s="631"/>
      <c r="AC1486" s="631"/>
      <c r="AD1486" s="631"/>
      <c r="AF1486" s="627">
        <v>12812.83</v>
      </c>
      <c r="AG1486" s="627"/>
      <c r="AH1486" s="627"/>
      <c r="AI1486" s="627"/>
      <c r="AJ1486" s="627"/>
      <c r="AK1486" s="627"/>
      <c r="AL1486" s="627"/>
    </row>
    <row r="1487" spans="1:38" ht="11.1" customHeight="1" x14ac:dyDescent="0.25">
      <c r="A1487" s="630" t="s">
        <v>4706</v>
      </c>
      <c r="B1487" s="630"/>
      <c r="C1487" s="630"/>
      <c r="L1487" s="630" t="s">
        <v>2294</v>
      </c>
      <c r="M1487" s="630"/>
      <c r="N1487" s="630"/>
      <c r="O1487" s="630"/>
      <c r="P1487" s="630"/>
      <c r="Q1487" s="627">
        <v>2999.28</v>
      </c>
      <c r="R1487" s="627"/>
      <c r="T1487" s="631">
        <v>0</v>
      </c>
      <c r="U1487" s="631"/>
      <c r="V1487" s="631"/>
      <c r="Y1487" s="631">
        <v>0</v>
      </c>
      <c r="Z1487" s="631"/>
      <c r="AA1487" s="631"/>
      <c r="AB1487" s="631"/>
      <c r="AC1487" s="631"/>
      <c r="AD1487" s="631"/>
      <c r="AF1487" s="627">
        <v>2999.28</v>
      </c>
      <c r="AG1487" s="627"/>
      <c r="AH1487" s="627"/>
      <c r="AI1487" s="627"/>
      <c r="AJ1487" s="627"/>
      <c r="AK1487" s="627"/>
      <c r="AL1487" s="627"/>
    </row>
    <row r="1488" spans="1:38" ht="11.1" customHeight="1" x14ac:dyDescent="0.25">
      <c r="A1488" s="630" t="s">
        <v>4707</v>
      </c>
      <c r="B1488" s="630"/>
      <c r="C1488" s="630"/>
      <c r="M1488" s="630" t="s">
        <v>2290</v>
      </c>
      <c r="N1488" s="630"/>
      <c r="O1488" s="630"/>
      <c r="P1488" s="630"/>
      <c r="Q1488" s="627">
        <v>2999.28</v>
      </c>
      <c r="R1488" s="627"/>
      <c r="T1488" s="631">
        <v>0</v>
      </c>
      <c r="U1488" s="631"/>
      <c r="V1488" s="631"/>
      <c r="Y1488" s="631">
        <v>0</v>
      </c>
      <c r="Z1488" s="631"/>
      <c r="AA1488" s="631"/>
      <c r="AB1488" s="631"/>
      <c r="AC1488" s="631"/>
      <c r="AD1488" s="631"/>
      <c r="AF1488" s="627">
        <v>2999.28</v>
      </c>
      <c r="AG1488" s="627"/>
      <c r="AH1488" s="627"/>
      <c r="AI1488" s="627"/>
      <c r="AJ1488" s="627"/>
      <c r="AK1488" s="627"/>
      <c r="AL1488" s="627"/>
    </row>
    <row r="1489" spans="1:38" ht="11.1" customHeight="1" x14ac:dyDescent="0.25">
      <c r="A1489" s="630" t="s">
        <v>4708</v>
      </c>
      <c r="B1489" s="630"/>
      <c r="C1489" s="630"/>
      <c r="L1489" s="630" t="s">
        <v>335</v>
      </c>
      <c r="M1489" s="630"/>
      <c r="N1489" s="630"/>
      <c r="O1489" s="630"/>
      <c r="P1489" s="630"/>
      <c r="Q1489" s="627">
        <v>9368.84</v>
      </c>
      <c r="R1489" s="627"/>
      <c r="T1489" s="631">
        <v>444.71</v>
      </c>
      <c r="U1489" s="631"/>
      <c r="V1489" s="631"/>
      <c r="Y1489" s="631">
        <v>0</v>
      </c>
      <c r="Z1489" s="631"/>
      <c r="AA1489" s="631"/>
      <c r="AB1489" s="631"/>
      <c r="AC1489" s="631"/>
      <c r="AD1489" s="631"/>
      <c r="AF1489" s="627">
        <v>9813.5499999999993</v>
      </c>
      <c r="AG1489" s="627"/>
      <c r="AH1489" s="627"/>
      <c r="AI1489" s="627"/>
      <c r="AJ1489" s="627"/>
      <c r="AK1489" s="627"/>
      <c r="AL1489" s="627"/>
    </row>
    <row r="1490" spans="1:38" ht="11.1" customHeight="1" x14ac:dyDescent="0.25">
      <c r="A1490" s="630" t="s">
        <v>4709</v>
      </c>
      <c r="B1490" s="630"/>
      <c r="C1490" s="630"/>
      <c r="M1490" s="630" t="s">
        <v>2505</v>
      </c>
      <c r="N1490" s="630"/>
      <c r="O1490" s="630"/>
      <c r="P1490" s="630"/>
      <c r="Q1490" s="627">
        <v>60.69</v>
      </c>
      <c r="R1490" s="627"/>
      <c r="T1490" s="631">
        <v>0</v>
      </c>
      <c r="U1490" s="631"/>
      <c r="V1490" s="631"/>
      <c r="Y1490" s="631">
        <v>0</v>
      </c>
      <c r="Z1490" s="631"/>
      <c r="AA1490" s="631"/>
      <c r="AB1490" s="631"/>
      <c r="AC1490" s="631"/>
      <c r="AD1490" s="631"/>
      <c r="AF1490" s="627">
        <v>60.69</v>
      </c>
      <c r="AG1490" s="627"/>
      <c r="AH1490" s="627"/>
      <c r="AI1490" s="627"/>
      <c r="AJ1490" s="627"/>
      <c r="AK1490" s="627"/>
      <c r="AL1490" s="627"/>
    </row>
    <row r="1491" spans="1:38" ht="11.1" customHeight="1" x14ac:dyDescent="0.25">
      <c r="A1491" s="630" t="s">
        <v>4710</v>
      </c>
      <c r="B1491" s="630"/>
      <c r="C1491" s="630"/>
      <c r="M1491" s="630" t="s">
        <v>2290</v>
      </c>
      <c r="N1491" s="630"/>
      <c r="O1491" s="630"/>
      <c r="P1491" s="630"/>
      <c r="Q1491" s="627">
        <v>2796.11</v>
      </c>
      <c r="R1491" s="627"/>
      <c r="T1491" s="631">
        <v>0</v>
      </c>
      <c r="U1491" s="631"/>
      <c r="V1491" s="631"/>
      <c r="Y1491" s="631">
        <v>0</v>
      </c>
      <c r="Z1491" s="631"/>
      <c r="AA1491" s="631"/>
      <c r="AB1491" s="631"/>
      <c r="AC1491" s="631"/>
      <c r="AD1491" s="631"/>
      <c r="AF1491" s="627">
        <v>2796.11</v>
      </c>
      <c r="AG1491" s="627"/>
      <c r="AH1491" s="627"/>
      <c r="AI1491" s="627"/>
      <c r="AJ1491" s="627"/>
      <c r="AK1491" s="627"/>
      <c r="AL1491" s="627"/>
    </row>
    <row r="1492" spans="1:38" ht="11.1" customHeight="1" x14ac:dyDescent="0.25">
      <c r="A1492" s="630" t="s">
        <v>4711</v>
      </c>
      <c r="B1492" s="630"/>
      <c r="C1492" s="630"/>
      <c r="M1492" s="630" t="s">
        <v>1916</v>
      </c>
      <c r="N1492" s="630"/>
      <c r="O1492" s="630"/>
      <c r="P1492" s="630"/>
      <c r="Q1492" s="627">
        <v>6512.04</v>
      </c>
      <c r="R1492" s="627"/>
      <c r="T1492" s="631">
        <v>444.71</v>
      </c>
      <c r="U1492" s="631"/>
      <c r="V1492" s="631"/>
      <c r="Y1492" s="631">
        <v>0</v>
      </c>
      <c r="Z1492" s="631"/>
      <c r="AA1492" s="631"/>
      <c r="AB1492" s="631"/>
      <c r="AC1492" s="631"/>
      <c r="AD1492" s="631"/>
      <c r="AF1492" s="627">
        <v>6956.75</v>
      </c>
      <c r="AG1492" s="627"/>
      <c r="AH1492" s="627"/>
      <c r="AI1492" s="627"/>
      <c r="AJ1492" s="627"/>
      <c r="AK1492" s="627"/>
      <c r="AL1492" s="627"/>
    </row>
    <row r="1493" spans="1:38" ht="11.1" customHeight="1" x14ac:dyDescent="0.25">
      <c r="A1493" s="632" t="s">
        <v>4712</v>
      </c>
      <c r="B1493" s="632"/>
      <c r="C1493" s="632"/>
      <c r="J1493" s="632" t="s">
        <v>1721</v>
      </c>
      <c r="K1493" s="632"/>
      <c r="L1493" s="632"/>
      <c r="M1493" s="632"/>
      <c r="N1493" s="632"/>
      <c r="O1493" s="632"/>
      <c r="P1493" s="632"/>
      <c r="Q1493" s="633">
        <v>144146.56</v>
      </c>
      <c r="R1493" s="633"/>
      <c r="T1493" s="634">
        <v>12539.92</v>
      </c>
      <c r="U1493" s="634"/>
      <c r="V1493" s="634"/>
      <c r="Y1493" s="634">
        <v>0</v>
      </c>
      <c r="Z1493" s="634"/>
      <c r="AA1493" s="634"/>
      <c r="AB1493" s="634"/>
      <c r="AC1493" s="634"/>
      <c r="AD1493" s="634"/>
      <c r="AF1493" s="633">
        <v>156686.48000000001</v>
      </c>
      <c r="AG1493" s="633"/>
      <c r="AH1493" s="633"/>
      <c r="AI1493" s="633"/>
      <c r="AJ1493" s="633"/>
      <c r="AK1493" s="633"/>
      <c r="AL1493" s="633"/>
    </row>
    <row r="1494" spans="1:38" ht="11.1" customHeight="1" x14ac:dyDescent="0.25">
      <c r="A1494" s="630" t="s">
        <v>4713</v>
      </c>
      <c r="B1494" s="630"/>
      <c r="C1494" s="630"/>
      <c r="K1494" s="630" t="s">
        <v>1721</v>
      </c>
      <c r="L1494" s="630"/>
      <c r="M1494" s="630"/>
      <c r="N1494" s="630"/>
      <c r="O1494" s="630"/>
      <c r="P1494" s="630"/>
      <c r="Q1494" s="627">
        <v>144146.56</v>
      </c>
      <c r="R1494" s="627"/>
      <c r="T1494" s="631">
        <v>12539.92</v>
      </c>
      <c r="U1494" s="631"/>
      <c r="V1494" s="631"/>
      <c r="Y1494" s="631">
        <v>0</v>
      </c>
      <c r="Z1494" s="631"/>
      <c r="AA1494" s="631"/>
      <c r="AB1494" s="631"/>
      <c r="AC1494" s="631"/>
      <c r="AD1494" s="631"/>
      <c r="AF1494" s="627">
        <v>156686.48000000001</v>
      </c>
      <c r="AG1494" s="627"/>
      <c r="AH1494" s="627"/>
      <c r="AI1494" s="627"/>
      <c r="AJ1494" s="627"/>
      <c r="AK1494" s="627"/>
      <c r="AL1494" s="627"/>
    </row>
    <row r="1495" spans="1:38" ht="11.1" customHeight="1" x14ac:dyDescent="0.25">
      <c r="A1495" s="630" t="s">
        <v>4714</v>
      </c>
      <c r="B1495" s="630"/>
      <c r="C1495" s="630"/>
      <c r="L1495" s="630" t="s">
        <v>2294</v>
      </c>
      <c r="M1495" s="630"/>
      <c r="N1495" s="630"/>
      <c r="O1495" s="630"/>
      <c r="P1495" s="630"/>
      <c r="Q1495" s="627">
        <v>22442.09</v>
      </c>
      <c r="R1495" s="627"/>
      <c r="T1495" s="631">
        <v>2040.19</v>
      </c>
      <c r="U1495" s="631"/>
      <c r="V1495" s="631"/>
      <c r="Y1495" s="631">
        <v>0</v>
      </c>
      <c r="Z1495" s="631"/>
      <c r="AA1495" s="631"/>
      <c r="AB1495" s="631"/>
      <c r="AC1495" s="631"/>
      <c r="AD1495" s="631"/>
      <c r="AF1495" s="627">
        <v>24482.28</v>
      </c>
      <c r="AG1495" s="627"/>
      <c r="AH1495" s="627"/>
      <c r="AI1495" s="627"/>
      <c r="AJ1495" s="627"/>
      <c r="AK1495" s="627"/>
      <c r="AL1495" s="627"/>
    </row>
    <row r="1496" spans="1:38" ht="11.1" customHeight="1" x14ac:dyDescent="0.25">
      <c r="A1496" s="630" t="s">
        <v>4715</v>
      </c>
      <c r="B1496" s="630"/>
      <c r="C1496" s="630"/>
      <c r="M1496" s="630" t="s">
        <v>2538</v>
      </c>
      <c r="N1496" s="630"/>
      <c r="O1496" s="630"/>
      <c r="P1496" s="630"/>
      <c r="Q1496" s="627">
        <v>22442.09</v>
      </c>
      <c r="R1496" s="627"/>
      <c r="T1496" s="631">
        <v>2040.19</v>
      </c>
      <c r="U1496" s="631"/>
      <c r="V1496" s="631"/>
      <c r="Y1496" s="631">
        <v>0</v>
      </c>
      <c r="Z1496" s="631"/>
      <c r="AA1496" s="631"/>
      <c r="AB1496" s="631"/>
      <c r="AC1496" s="631"/>
      <c r="AD1496" s="631"/>
      <c r="AF1496" s="627">
        <v>24482.28</v>
      </c>
      <c r="AG1496" s="627"/>
      <c r="AH1496" s="627"/>
      <c r="AI1496" s="627"/>
      <c r="AJ1496" s="627"/>
      <c r="AK1496" s="627"/>
      <c r="AL1496" s="627"/>
    </row>
    <row r="1497" spans="1:38" ht="11.1" customHeight="1" x14ac:dyDescent="0.25">
      <c r="A1497" s="630" t="s">
        <v>4716</v>
      </c>
      <c r="B1497" s="630"/>
      <c r="C1497" s="630"/>
      <c r="L1497" s="630" t="s">
        <v>335</v>
      </c>
      <c r="M1497" s="630"/>
      <c r="N1497" s="630"/>
      <c r="O1497" s="630"/>
      <c r="P1497" s="630"/>
      <c r="Q1497" s="627">
        <v>121704.47</v>
      </c>
      <c r="R1497" s="627"/>
      <c r="T1497" s="631">
        <v>10499.73</v>
      </c>
      <c r="U1497" s="631"/>
      <c r="V1497" s="631"/>
      <c r="Y1497" s="631">
        <v>0</v>
      </c>
      <c r="Z1497" s="631"/>
      <c r="AA1497" s="631"/>
      <c r="AB1497" s="631"/>
      <c r="AC1497" s="631"/>
      <c r="AD1497" s="631"/>
      <c r="AF1497" s="627">
        <v>132204.20000000001</v>
      </c>
      <c r="AG1497" s="627"/>
      <c r="AH1497" s="627"/>
      <c r="AI1497" s="627"/>
      <c r="AJ1497" s="627"/>
      <c r="AK1497" s="627"/>
      <c r="AL1497" s="627"/>
    </row>
    <row r="1498" spans="1:38" ht="11.1" customHeight="1" x14ac:dyDescent="0.25">
      <c r="A1498" s="630" t="s">
        <v>4717</v>
      </c>
      <c r="B1498" s="630"/>
      <c r="C1498" s="630"/>
      <c r="M1498" s="630" t="s">
        <v>1721</v>
      </c>
      <c r="N1498" s="630"/>
      <c r="O1498" s="630"/>
      <c r="P1498" s="630"/>
      <c r="Q1498" s="627">
        <v>82443.710000000006</v>
      </c>
      <c r="R1498" s="627"/>
      <c r="T1498" s="631">
        <v>6930.57</v>
      </c>
      <c r="U1498" s="631"/>
      <c r="V1498" s="631"/>
      <c r="Y1498" s="631">
        <v>0</v>
      </c>
      <c r="Z1498" s="631"/>
      <c r="AA1498" s="631"/>
      <c r="AB1498" s="631"/>
      <c r="AC1498" s="631"/>
      <c r="AD1498" s="631"/>
      <c r="AF1498" s="627">
        <v>89374.28</v>
      </c>
      <c r="AG1498" s="627"/>
      <c r="AH1498" s="627"/>
      <c r="AI1498" s="627"/>
      <c r="AJ1498" s="627"/>
      <c r="AK1498" s="627"/>
      <c r="AL1498" s="627"/>
    </row>
    <row r="1499" spans="1:38" ht="11.1" customHeight="1" x14ac:dyDescent="0.25">
      <c r="A1499" s="630" t="s">
        <v>4718</v>
      </c>
      <c r="B1499" s="630"/>
      <c r="C1499" s="630"/>
      <c r="M1499" s="630" t="s">
        <v>1922</v>
      </c>
      <c r="N1499" s="630"/>
      <c r="O1499" s="630"/>
      <c r="P1499" s="630"/>
      <c r="Q1499" s="627">
        <v>39260.76</v>
      </c>
      <c r="R1499" s="627"/>
      <c r="T1499" s="631">
        <v>3569.16</v>
      </c>
      <c r="U1499" s="631"/>
      <c r="V1499" s="631"/>
      <c r="Y1499" s="631">
        <v>0</v>
      </c>
      <c r="Z1499" s="631"/>
      <c r="AA1499" s="631"/>
      <c r="AB1499" s="631"/>
      <c r="AC1499" s="631"/>
      <c r="AD1499" s="631"/>
      <c r="AF1499" s="627">
        <v>42829.919999999998</v>
      </c>
      <c r="AG1499" s="627"/>
      <c r="AH1499" s="627"/>
      <c r="AI1499" s="627"/>
      <c r="AJ1499" s="627"/>
      <c r="AK1499" s="627"/>
      <c r="AL1499" s="627"/>
    </row>
    <row r="1500" spans="1:38" ht="11.1" customHeight="1" x14ac:dyDescent="0.25">
      <c r="A1500" s="632" t="s">
        <v>4719</v>
      </c>
      <c r="B1500" s="632"/>
      <c r="C1500" s="632"/>
      <c r="J1500" s="632" t="s">
        <v>1731</v>
      </c>
      <c r="K1500" s="632"/>
      <c r="L1500" s="632"/>
      <c r="M1500" s="632"/>
      <c r="N1500" s="632"/>
      <c r="O1500" s="632"/>
      <c r="P1500" s="632"/>
      <c r="Q1500" s="633">
        <v>308399.02</v>
      </c>
      <c r="R1500" s="633"/>
      <c r="T1500" s="634">
        <v>14685.67</v>
      </c>
      <c r="U1500" s="634"/>
      <c r="V1500" s="634"/>
      <c r="Y1500" s="634">
        <v>14685.67</v>
      </c>
      <c r="Z1500" s="634"/>
      <c r="AA1500" s="634"/>
      <c r="AB1500" s="634"/>
      <c r="AC1500" s="634"/>
      <c r="AD1500" s="634"/>
      <c r="AF1500" s="633">
        <v>308399.02</v>
      </c>
      <c r="AG1500" s="633"/>
      <c r="AH1500" s="633"/>
      <c r="AI1500" s="633"/>
      <c r="AJ1500" s="633"/>
      <c r="AK1500" s="633"/>
      <c r="AL1500" s="633"/>
    </row>
    <row r="1501" spans="1:38" ht="11.1" customHeight="1" x14ac:dyDescent="0.25">
      <c r="A1501" s="630" t="s">
        <v>4720</v>
      </c>
      <c r="B1501" s="630"/>
      <c r="C1501" s="630"/>
      <c r="K1501" s="630" t="s">
        <v>1731</v>
      </c>
      <c r="L1501" s="630"/>
      <c r="M1501" s="630"/>
      <c r="N1501" s="630"/>
      <c r="O1501" s="630"/>
      <c r="P1501" s="630"/>
      <c r="Q1501" s="627">
        <v>308399.02</v>
      </c>
      <c r="R1501" s="627"/>
      <c r="T1501" s="631">
        <v>14685.67</v>
      </c>
      <c r="U1501" s="631"/>
      <c r="V1501" s="631"/>
      <c r="Y1501" s="631">
        <v>14685.67</v>
      </c>
      <c r="Z1501" s="631"/>
      <c r="AA1501" s="631"/>
      <c r="AB1501" s="631"/>
      <c r="AC1501" s="631"/>
      <c r="AD1501" s="631"/>
      <c r="AF1501" s="627">
        <v>308399.02</v>
      </c>
      <c r="AG1501" s="627"/>
      <c r="AH1501" s="627"/>
      <c r="AI1501" s="627"/>
      <c r="AJ1501" s="627"/>
      <c r="AK1501" s="627"/>
      <c r="AL1501" s="627"/>
    </row>
    <row r="1502" spans="1:38" ht="11.1" customHeight="1" x14ac:dyDescent="0.25">
      <c r="A1502" s="630" t="s">
        <v>4721</v>
      </c>
      <c r="B1502" s="630"/>
      <c r="C1502" s="630"/>
      <c r="M1502" s="630" t="s">
        <v>2987</v>
      </c>
      <c r="N1502" s="630"/>
      <c r="O1502" s="630"/>
      <c r="P1502" s="630"/>
      <c r="Q1502" s="627">
        <v>308399.02</v>
      </c>
      <c r="R1502" s="627"/>
      <c r="T1502" s="631">
        <v>14685.67</v>
      </c>
      <c r="U1502" s="631"/>
      <c r="V1502" s="631"/>
      <c r="Y1502" s="631">
        <v>14685.67</v>
      </c>
      <c r="Z1502" s="631"/>
      <c r="AA1502" s="631"/>
      <c r="AB1502" s="631"/>
      <c r="AC1502" s="631"/>
      <c r="AD1502" s="631"/>
      <c r="AF1502" s="627">
        <v>308399.02</v>
      </c>
      <c r="AG1502" s="627"/>
      <c r="AH1502" s="627"/>
      <c r="AI1502" s="627"/>
      <c r="AJ1502" s="627"/>
      <c r="AK1502" s="627"/>
      <c r="AL1502" s="627"/>
    </row>
    <row r="1503" spans="1:38" ht="11.1" customHeight="1" x14ac:dyDescent="0.25">
      <c r="A1503" s="632" t="s">
        <v>4722</v>
      </c>
      <c r="B1503" s="632"/>
      <c r="C1503" s="632"/>
      <c r="J1503" s="632" t="s">
        <v>1739</v>
      </c>
      <c r="K1503" s="632"/>
      <c r="L1503" s="632"/>
      <c r="M1503" s="632"/>
      <c r="N1503" s="632"/>
      <c r="O1503" s="632"/>
      <c r="P1503" s="632"/>
      <c r="Q1503" s="633">
        <v>150261.54</v>
      </c>
      <c r="R1503" s="633"/>
      <c r="T1503" s="634">
        <v>11449.06</v>
      </c>
      <c r="U1503" s="634"/>
      <c r="V1503" s="634"/>
      <c r="Y1503" s="634">
        <v>0</v>
      </c>
      <c r="Z1503" s="634"/>
      <c r="AA1503" s="634"/>
      <c r="AB1503" s="634"/>
      <c r="AC1503" s="634"/>
      <c r="AD1503" s="634"/>
      <c r="AF1503" s="633">
        <v>161710.6</v>
      </c>
      <c r="AG1503" s="633"/>
      <c r="AH1503" s="633"/>
      <c r="AI1503" s="633"/>
      <c r="AJ1503" s="633"/>
      <c r="AK1503" s="633"/>
      <c r="AL1503" s="633"/>
    </row>
    <row r="1504" spans="1:38" ht="11.1" customHeight="1" x14ac:dyDescent="0.25">
      <c r="A1504" s="630" t="s">
        <v>4723</v>
      </c>
      <c r="B1504" s="630"/>
      <c r="C1504" s="630"/>
      <c r="K1504" s="630" t="s">
        <v>1741</v>
      </c>
      <c r="L1504" s="630"/>
      <c r="M1504" s="630"/>
      <c r="N1504" s="630"/>
      <c r="O1504" s="630"/>
      <c r="P1504" s="630"/>
      <c r="Q1504" s="627">
        <v>922.4</v>
      </c>
      <c r="R1504" s="627"/>
      <c r="T1504" s="631">
        <v>787.64</v>
      </c>
      <c r="U1504" s="631"/>
      <c r="V1504" s="631"/>
      <c r="Y1504" s="631">
        <v>0</v>
      </c>
      <c r="Z1504" s="631"/>
      <c r="AA1504" s="631"/>
      <c r="AB1504" s="631"/>
      <c r="AC1504" s="631"/>
      <c r="AD1504" s="631"/>
      <c r="AF1504" s="627">
        <v>1710.04</v>
      </c>
      <c r="AG1504" s="627"/>
      <c r="AH1504" s="627"/>
      <c r="AI1504" s="627"/>
      <c r="AJ1504" s="627"/>
      <c r="AK1504" s="627"/>
      <c r="AL1504" s="627"/>
    </row>
    <row r="1505" spans="1:38" ht="11.1" customHeight="1" x14ac:dyDescent="0.25">
      <c r="A1505" s="630" t="s">
        <v>4724</v>
      </c>
      <c r="B1505" s="630"/>
      <c r="C1505" s="630"/>
      <c r="L1505" s="630" t="s">
        <v>335</v>
      </c>
      <c r="M1505" s="630"/>
      <c r="N1505" s="630"/>
      <c r="O1505" s="630"/>
      <c r="P1505" s="630"/>
      <c r="Q1505" s="627">
        <v>922.4</v>
      </c>
      <c r="R1505" s="627"/>
      <c r="T1505" s="631">
        <v>787.64</v>
      </c>
      <c r="U1505" s="631"/>
      <c r="V1505" s="631"/>
      <c r="Y1505" s="631">
        <v>0</v>
      </c>
      <c r="Z1505" s="631"/>
      <c r="AA1505" s="631"/>
      <c r="AB1505" s="631"/>
      <c r="AC1505" s="631"/>
      <c r="AD1505" s="631"/>
      <c r="AF1505" s="627">
        <v>1710.04</v>
      </c>
      <c r="AG1505" s="627"/>
      <c r="AH1505" s="627"/>
      <c r="AI1505" s="627"/>
      <c r="AJ1505" s="627"/>
      <c r="AK1505" s="627"/>
      <c r="AL1505" s="627"/>
    </row>
    <row r="1506" spans="1:38" ht="11.1" customHeight="1" x14ac:dyDescent="0.25">
      <c r="A1506" s="630" t="s">
        <v>4725</v>
      </c>
      <c r="B1506" s="630"/>
      <c r="C1506" s="630"/>
      <c r="M1506" s="630" t="s">
        <v>1927</v>
      </c>
      <c r="N1506" s="630"/>
      <c r="O1506" s="630"/>
      <c r="P1506" s="630"/>
      <c r="Q1506" s="627">
        <v>922.4</v>
      </c>
      <c r="R1506" s="627"/>
      <c r="T1506" s="631">
        <v>787.64</v>
      </c>
      <c r="U1506" s="631"/>
      <c r="V1506" s="631"/>
      <c r="Y1506" s="631">
        <v>0</v>
      </c>
      <c r="Z1506" s="631"/>
      <c r="AA1506" s="631"/>
      <c r="AB1506" s="631"/>
      <c r="AC1506" s="631"/>
      <c r="AD1506" s="631"/>
      <c r="AF1506" s="627">
        <v>1710.04</v>
      </c>
      <c r="AG1506" s="627"/>
      <c r="AH1506" s="627"/>
      <c r="AI1506" s="627"/>
      <c r="AJ1506" s="627"/>
      <c r="AK1506" s="627"/>
      <c r="AL1506" s="627"/>
    </row>
    <row r="1507" spans="1:38" ht="11.1" customHeight="1" x14ac:dyDescent="0.25">
      <c r="A1507" s="630" t="s">
        <v>4726</v>
      </c>
      <c r="B1507" s="630"/>
      <c r="C1507" s="630"/>
      <c r="K1507" s="630" t="s">
        <v>331</v>
      </c>
      <c r="L1507" s="630"/>
      <c r="M1507" s="630"/>
      <c r="N1507" s="630"/>
      <c r="O1507" s="630"/>
      <c r="P1507" s="630"/>
      <c r="Q1507" s="627">
        <v>149339.14000000001</v>
      </c>
      <c r="R1507" s="627"/>
      <c r="T1507" s="631">
        <v>10661.42</v>
      </c>
      <c r="U1507" s="631"/>
      <c r="V1507" s="631"/>
      <c r="Y1507" s="631">
        <v>0</v>
      </c>
      <c r="Z1507" s="631"/>
      <c r="AA1507" s="631"/>
      <c r="AB1507" s="631"/>
      <c r="AC1507" s="631"/>
      <c r="AD1507" s="631"/>
      <c r="AF1507" s="627">
        <v>160000.56</v>
      </c>
      <c r="AG1507" s="627"/>
      <c r="AH1507" s="627"/>
      <c r="AI1507" s="627"/>
      <c r="AJ1507" s="627"/>
      <c r="AK1507" s="627"/>
      <c r="AL1507" s="627"/>
    </row>
    <row r="1508" spans="1:38" ht="11.1" customHeight="1" x14ac:dyDescent="0.25">
      <c r="A1508" s="630" t="s">
        <v>4727</v>
      </c>
      <c r="B1508" s="630"/>
      <c r="C1508" s="630"/>
      <c r="M1508" s="630" t="s">
        <v>1931</v>
      </c>
      <c r="N1508" s="630"/>
      <c r="O1508" s="630"/>
      <c r="P1508" s="630"/>
      <c r="Q1508" s="627">
        <v>2902.53</v>
      </c>
      <c r="R1508" s="627"/>
      <c r="T1508" s="631">
        <v>530.01</v>
      </c>
      <c r="U1508" s="631"/>
      <c r="V1508" s="631"/>
      <c r="Y1508" s="631">
        <v>0</v>
      </c>
      <c r="Z1508" s="631"/>
      <c r="AA1508" s="631"/>
      <c r="AB1508" s="631"/>
      <c r="AC1508" s="631"/>
      <c r="AD1508" s="631"/>
      <c r="AF1508" s="627">
        <v>3432.54</v>
      </c>
      <c r="AG1508" s="627"/>
      <c r="AH1508" s="627"/>
      <c r="AI1508" s="627"/>
      <c r="AJ1508" s="627"/>
      <c r="AK1508" s="627"/>
      <c r="AL1508" s="627"/>
    </row>
    <row r="1509" spans="1:38" ht="11.1" customHeight="1" x14ac:dyDescent="0.25">
      <c r="A1509" s="630" t="s">
        <v>4728</v>
      </c>
      <c r="B1509" s="630"/>
      <c r="C1509" s="630"/>
      <c r="L1509" s="630" t="s">
        <v>335</v>
      </c>
      <c r="M1509" s="630"/>
      <c r="N1509" s="630"/>
      <c r="O1509" s="630"/>
      <c r="P1509" s="630"/>
      <c r="Q1509" s="627">
        <v>146436.60999999999</v>
      </c>
      <c r="R1509" s="627"/>
      <c r="T1509" s="631">
        <v>10131.41</v>
      </c>
      <c r="U1509" s="631"/>
      <c r="V1509" s="631"/>
      <c r="Y1509" s="631">
        <v>0</v>
      </c>
      <c r="Z1509" s="631"/>
      <c r="AA1509" s="631"/>
      <c r="AB1509" s="631"/>
      <c r="AC1509" s="631"/>
      <c r="AD1509" s="631"/>
      <c r="AF1509" s="627">
        <v>156568.01999999999</v>
      </c>
      <c r="AG1509" s="627"/>
      <c r="AH1509" s="627"/>
      <c r="AI1509" s="627"/>
      <c r="AJ1509" s="627"/>
      <c r="AK1509" s="627"/>
      <c r="AL1509" s="627"/>
    </row>
    <row r="1510" spans="1:38" ht="11.1" customHeight="1" x14ac:dyDescent="0.25">
      <c r="A1510" s="630" t="s">
        <v>4729</v>
      </c>
      <c r="B1510" s="630"/>
      <c r="C1510" s="630"/>
      <c r="M1510" s="630" t="s">
        <v>1931</v>
      </c>
      <c r="N1510" s="630"/>
      <c r="O1510" s="630"/>
      <c r="P1510" s="630"/>
      <c r="Q1510" s="627">
        <v>35292.14</v>
      </c>
      <c r="R1510" s="627"/>
      <c r="T1510" s="631">
        <v>3962.4</v>
      </c>
      <c r="U1510" s="631"/>
      <c r="V1510" s="631"/>
      <c r="Y1510" s="631">
        <v>0</v>
      </c>
      <c r="Z1510" s="631"/>
      <c r="AA1510" s="631"/>
      <c r="AB1510" s="631"/>
      <c r="AC1510" s="631"/>
      <c r="AD1510" s="631"/>
      <c r="AF1510" s="627">
        <v>39254.54</v>
      </c>
      <c r="AG1510" s="627"/>
      <c r="AH1510" s="627"/>
      <c r="AI1510" s="627"/>
      <c r="AJ1510" s="627"/>
      <c r="AK1510" s="627"/>
      <c r="AL1510" s="627"/>
    </row>
    <row r="1511" spans="1:38" ht="11.1" customHeight="1" x14ac:dyDescent="0.25">
      <c r="A1511" s="630" t="s">
        <v>4730</v>
      </c>
      <c r="B1511" s="630"/>
      <c r="C1511" s="630"/>
      <c r="M1511" s="630" t="s">
        <v>1933</v>
      </c>
      <c r="N1511" s="630"/>
      <c r="O1511" s="630"/>
      <c r="P1511" s="630"/>
      <c r="Q1511" s="627">
        <v>33410.400000000001</v>
      </c>
      <c r="R1511" s="627"/>
      <c r="T1511" s="631">
        <v>2720</v>
      </c>
      <c r="U1511" s="631"/>
      <c r="V1511" s="631"/>
      <c r="Y1511" s="631">
        <v>0</v>
      </c>
      <c r="Z1511" s="631"/>
      <c r="AA1511" s="631"/>
      <c r="AB1511" s="631"/>
      <c r="AC1511" s="631"/>
      <c r="AD1511" s="631"/>
      <c r="AF1511" s="627">
        <v>36130.400000000001</v>
      </c>
      <c r="AG1511" s="627"/>
      <c r="AH1511" s="627"/>
      <c r="AI1511" s="627"/>
      <c r="AJ1511" s="627"/>
      <c r="AK1511" s="627"/>
      <c r="AL1511" s="627"/>
    </row>
    <row r="1512" spans="1:38" ht="11.1" customHeight="1" x14ac:dyDescent="0.25">
      <c r="A1512" s="630" t="s">
        <v>4731</v>
      </c>
      <c r="B1512" s="630"/>
      <c r="C1512" s="630"/>
      <c r="M1512" s="630" t="s">
        <v>1083</v>
      </c>
      <c r="N1512" s="630"/>
      <c r="O1512" s="630"/>
      <c r="P1512" s="630"/>
      <c r="Q1512" s="627">
        <v>47604.1</v>
      </c>
      <c r="R1512" s="627"/>
      <c r="T1512" s="631">
        <v>2899.01</v>
      </c>
      <c r="U1512" s="631"/>
      <c r="V1512" s="631"/>
      <c r="Y1512" s="631">
        <v>0</v>
      </c>
      <c r="Z1512" s="631"/>
      <c r="AA1512" s="631"/>
      <c r="AB1512" s="631"/>
      <c r="AC1512" s="631"/>
      <c r="AD1512" s="631"/>
      <c r="AF1512" s="627">
        <v>50503.11</v>
      </c>
      <c r="AG1512" s="627"/>
      <c r="AH1512" s="627"/>
      <c r="AI1512" s="627"/>
      <c r="AJ1512" s="627"/>
      <c r="AK1512" s="627"/>
      <c r="AL1512" s="627"/>
    </row>
    <row r="1513" spans="1:38" ht="11.1" customHeight="1" x14ac:dyDescent="0.25">
      <c r="A1513" s="630" t="s">
        <v>4732</v>
      </c>
      <c r="B1513" s="630"/>
      <c r="C1513" s="630"/>
      <c r="M1513" s="630" t="s">
        <v>1936</v>
      </c>
      <c r="N1513" s="630"/>
      <c r="O1513" s="630"/>
      <c r="P1513" s="630"/>
      <c r="Q1513" s="627">
        <v>4462.6899999999996</v>
      </c>
      <c r="R1513" s="627"/>
      <c r="T1513" s="631">
        <v>0</v>
      </c>
      <c r="U1513" s="631"/>
      <c r="V1513" s="631"/>
      <c r="Y1513" s="631">
        <v>0</v>
      </c>
      <c r="Z1513" s="631"/>
      <c r="AA1513" s="631"/>
      <c r="AB1513" s="631"/>
      <c r="AC1513" s="631"/>
      <c r="AD1513" s="631"/>
      <c r="AF1513" s="627">
        <v>4462.6899999999996</v>
      </c>
      <c r="AG1513" s="627"/>
      <c r="AH1513" s="627"/>
      <c r="AI1513" s="627"/>
      <c r="AJ1513" s="627"/>
      <c r="AK1513" s="627"/>
      <c r="AL1513" s="627"/>
    </row>
    <row r="1514" spans="1:38" ht="11.1" customHeight="1" x14ac:dyDescent="0.25">
      <c r="A1514" s="630" t="s">
        <v>4733</v>
      </c>
      <c r="B1514" s="630"/>
      <c r="C1514" s="630"/>
      <c r="M1514" s="630" t="s">
        <v>1938</v>
      </c>
      <c r="N1514" s="630"/>
      <c r="O1514" s="630"/>
      <c r="P1514" s="630"/>
      <c r="Q1514" s="627">
        <v>1445.2</v>
      </c>
      <c r="R1514" s="627"/>
      <c r="T1514" s="631">
        <v>0</v>
      </c>
      <c r="U1514" s="631"/>
      <c r="V1514" s="631"/>
      <c r="Y1514" s="631">
        <v>0</v>
      </c>
      <c r="Z1514" s="631"/>
      <c r="AA1514" s="631"/>
      <c r="AB1514" s="631"/>
      <c r="AC1514" s="631"/>
      <c r="AD1514" s="631"/>
      <c r="AF1514" s="627">
        <v>1445.2</v>
      </c>
      <c r="AG1514" s="627"/>
      <c r="AH1514" s="627"/>
      <c r="AI1514" s="627"/>
      <c r="AJ1514" s="627"/>
      <c r="AK1514" s="627"/>
      <c r="AL1514" s="627"/>
    </row>
    <row r="1515" spans="1:38" ht="11.1" customHeight="1" x14ac:dyDescent="0.25">
      <c r="A1515" s="630" t="s">
        <v>4734</v>
      </c>
      <c r="B1515" s="630"/>
      <c r="C1515" s="630"/>
      <c r="M1515" s="630" t="s">
        <v>1940</v>
      </c>
      <c r="N1515" s="630"/>
      <c r="O1515" s="630"/>
      <c r="P1515" s="630"/>
      <c r="Q1515" s="627">
        <v>553.36</v>
      </c>
      <c r="R1515" s="627"/>
      <c r="T1515" s="631">
        <v>0</v>
      </c>
      <c r="U1515" s="631"/>
      <c r="V1515" s="631"/>
      <c r="Y1515" s="631">
        <v>0</v>
      </c>
      <c r="Z1515" s="631"/>
      <c r="AA1515" s="631"/>
      <c r="AB1515" s="631"/>
      <c r="AC1515" s="631"/>
      <c r="AD1515" s="631"/>
      <c r="AF1515" s="627">
        <v>553.36</v>
      </c>
      <c r="AG1515" s="627"/>
      <c r="AH1515" s="627"/>
      <c r="AI1515" s="627"/>
      <c r="AJ1515" s="627"/>
      <c r="AK1515" s="627"/>
      <c r="AL1515" s="627"/>
    </row>
    <row r="1516" spans="1:38" ht="11.1" customHeight="1" x14ac:dyDescent="0.25">
      <c r="A1516" s="630" t="s">
        <v>4735</v>
      </c>
      <c r="B1516" s="630"/>
      <c r="C1516" s="630"/>
      <c r="M1516" s="630" t="s">
        <v>1942</v>
      </c>
      <c r="N1516" s="630"/>
      <c r="O1516" s="630"/>
      <c r="P1516" s="630"/>
      <c r="Q1516" s="627">
        <v>6050</v>
      </c>
      <c r="R1516" s="627"/>
      <c r="T1516" s="631">
        <v>550</v>
      </c>
      <c r="U1516" s="631"/>
      <c r="V1516" s="631"/>
      <c r="Y1516" s="631">
        <v>0</v>
      </c>
      <c r="Z1516" s="631"/>
      <c r="AA1516" s="631"/>
      <c r="AB1516" s="631"/>
      <c r="AC1516" s="631"/>
      <c r="AD1516" s="631"/>
      <c r="AF1516" s="627">
        <v>6600</v>
      </c>
      <c r="AG1516" s="627"/>
      <c r="AH1516" s="627"/>
      <c r="AI1516" s="627"/>
      <c r="AJ1516" s="627"/>
      <c r="AK1516" s="627"/>
      <c r="AL1516" s="627"/>
    </row>
    <row r="1517" spans="1:38" ht="11.1" customHeight="1" x14ac:dyDescent="0.25">
      <c r="A1517" s="630" t="s">
        <v>4736</v>
      </c>
      <c r="B1517" s="630"/>
      <c r="C1517" s="630"/>
      <c r="M1517" s="630" t="s">
        <v>2342</v>
      </c>
      <c r="N1517" s="630"/>
      <c r="O1517" s="630"/>
      <c r="P1517" s="630"/>
      <c r="Q1517" s="627">
        <v>17618.72</v>
      </c>
      <c r="R1517" s="627"/>
      <c r="T1517" s="631">
        <v>0</v>
      </c>
      <c r="U1517" s="631"/>
      <c r="V1517" s="631"/>
      <c r="Y1517" s="631">
        <v>0</v>
      </c>
      <c r="Z1517" s="631"/>
      <c r="AA1517" s="631"/>
      <c r="AB1517" s="631"/>
      <c r="AC1517" s="631"/>
      <c r="AD1517" s="631"/>
      <c r="AF1517" s="627">
        <v>17618.72</v>
      </c>
      <c r="AG1517" s="627"/>
      <c r="AH1517" s="627"/>
      <c r="AI1517" s="627"/>
      <c r="AJ1517" s="627"/>
      <c r="AK1517" s="627"/>
      <c r="AL1517" s="627"/>
    </row>
    <row r="1518" spans="1:38" ht="11.1" customHeight="1" x14ac:dyDescent="0.25">
      <c r="A1518" s="632" t="s">
        <v>4737</v>
      </c>
      <c r="B1518" s="632"/>
      <c r="C1518" s="632"/>
      <c r="J1518" s="632" t="s">
        <v>1944</v>
      </c>
      <c r="K1518" s="632"/>
      <c r="L1518" s="632"/>
      <c r="M1518" s="632"/>
      <c r="N1518" s="632"/>
      <c r="O1518" s="632"/>
      <c r="P1518" s="632"/>
      <c r="Q1518" s="633">
        <v>-2741675.24</v>
      </c>
      <c r="R1518" s="633"/>
      <c r="T1518" s="634">
        <v>0</v>
      </c>
      <c r="U1518" s="634"/>
      <c r="V1518" s="634"/>
      <c r="Y1518" s="634">
        <v>0</v>
      </c>
      <c r="Z1518" s="634"/>
      <c r="AA1518" s="634"/>
      <c r="AB1518" s="634"/>
      <c r="AC1518" s="634"/>
      <c r="AD1518" s="634"/>
      <c r="AF1518" s="633">
        <v>-2741675.24</v>
      </c>
      <c r="AG1518" s="633"/>
      <c r="AH1518" s="633"/>
      <c r="AI1518" s="633"/>
      <c r="AJ1518" s="633"/>
      <c r="AK1518" s="633"/>
      <c r="AL1518" s="633"/>
    </row>
    <row r="1519" spans="1:38" ht="11.1" customHeight="1" x14ac:dyDescent="0.25">
      <c r="A1519" s="630" t="s">
        <v>4738</v>
      </c>
      <c r="B1519" s="630"/>
      <c r="C1519" s="630"/>
      <c r="K1519" s="630" t="s">
        <v>581</v>
      </c>
      <c r="L1519" s="630"/>
      <c r="M1519" s="630"/>
      <c r="N1519" s="630"/>
      <c r="O1519" s="630"/>
      <c r="P1519" s="630"/>
      <c r="Q1519" s="627">
        <v>-2741675.24</v>
      </c>
      <c r="R1519" s="627"/>
      <c r="T1519" s="631">
        <v>0</v>
      </c>
      <c r="U1519" s="631"/>
      <c r="V1519" s="631"/>
      <c r="Y1519" s="631">
        <v>0</v>
      </c>
      <c r="Z1519" s="631"/>
      <c r="AA1519" s="631"/>
      <c r="AB1519" s="631"/>
      <c r="AC1519" s="631"/>
      <c r="AD1519" s="631"/>
      <c r="AF1519" s="627">
        <v>-2741675.24</v>
      </c>
      <c r="AG1519" s="627"/>
      <c r="AH1519" s="627"/>
      <c r="AI1519" s="627"/>
      <c r="AJ1519" s="627"/>
      <c r="AK1519" s="627"/>
      <c r="AL1519" s="627"/>
    </row>
    <row r="1520" spans="1:38" ht="11.1" customHeight="1" x14ac:dyDescent="0.25">
      <c r="A1520" s="630" t="s">
        <v>4739</v>
      </c>
      <c r="B1520" s="630"/>
      <c r="C1520" s="630"/>
      <c r="M1520" s="630" t="s">
        <v>1753</v>
      </c>
      <c r="N1520" s="630"/>
      <c r="O1520" s="630"/>
      <c r="P1520" s="630"/>
      <c r="Q1520" s="627">
        <v>-2741675.24</v>
      </c>
      <c r="R1520" s="627"/>
      <c r="T1520" s="631">
        <v>0</v>
      </c>
      <c r="U1520" s="631"/>
      <c r="V1520" s="631"/>
      <c r="Y1520" s="631">
        <v>0</v>
      </c>
      <c r="Z1520" s="631"/>
      <c r="AA1520" s="631"/>
      <c r="AB1520" s="631"/>
      <c r="AC1520" s="631"/>
      <c r="AD1520" s="631"/>
      <c r="AF1520" s="627">
        <v>-2741675.24</v>
      </c>
      <c r="AG1520" s="627"/>
      <c r="AH1520" s="627"/>
      <c r="AI1520" s="627"/>
      <c r="AJ1520" s="627"/>
      <c r="AK1520" s="627"/>
      <c r="AL1520" s="627"/>
    </row>
    <row r="1521" spans="1:38" ht="11.1" customHeight="1" x14ac:dyDescent="0.25">
      <c r="A1521" s="632" t="s">
        <v>4740</v>
      </c>
      <c r="B1521" s="632"/>
      <c r="C1521" s="632"/>
      <c r="J1521" s="632" t="s">
        <v>1948</v>
      </c>
      <c r="K1521" s="632"/>
      <c r="L1521" s="632"/>
      <c r="M1521" s="632"/>
      <c r="N1521" s="632"/>
      <c r="O1521" s="632"/>
      <c r="P1521" s="632"/>
      <c r="Q1521" s="633">
        <v>-1806303.01</v>
      </c>
      <c r="R1521" s="633"/>
      <c r="T1521" s="634">
        <v>0</v>
      </c>
      <c r="U1521" s="634"/>
      <c r="V1521" s="634"/>
      <c r="Y1521" s="634">
        <v>0</v>
      </c>
      <c r="Z1521" s="634"/>
      <c r="AA1521" s="634"/>
      <c r="AB1521" s="634"/>
      <c r="AC1521" s="634"/>
      <c r="AD1521" s="634"/>
      <c r="AF1521" s="633">
        <v>-1806303.01</v>
      </c>
      <c r="AG1521" s="633"/>
      <c r="AH1521" s="633"/>
      <c r="AI1521" s="633"/>
      <c r="AJ1521" s="633"/>
      <c r="AK1521" s="633"/>
      <c r="AL1521" s="633"/>
    </row>
    <row r="1522" spans="1:38" ht="11.1" customHeight="1" x14ac:dyDescent="0.25">
      <c r="A1522" s="630" t="s">
        <v>4741</v>
      </c>
      <c r="B1522" s="630"/>
      <c r="C1522" s="630"/>
      <c r="K1522" s="630" t="s">
        <v>581</v>
      </c>
      <c r="L1522" s="630"/>
      <c r="M1522" s="630"/>
      <c r="N1522" s="630"/>
      <c r="O1522" s="630"/>
      <c r="P1522" s="630"/>
      <c r="Q1522" s="627">
        <v>-1806303.01</v>
      </c>
      <c r="R1522" s="627"/>
      <c r="T1522" s="631">
        <v>0</v>
      </c>
      <c r="U1522" s="631"/>
      <c r="V1522" s="631"/>
      <c r="Y1522" s="631">
        <v>0</v>
      </c>
      <c r="Z1522" s="631"/>
      <c r="AA1522" s="631"/>
      <c r="AB1522" s="631"/>
      <c r="AC1522" s="631"/>
      <c r="AD1522" s="631"/>
      <c r="AF1522" s="627">
        <v>-1806303.01</v>
      </c>
      <c r="AG1522" s="627"/>
      <c r="AH1522" s="627"/>
      <c r="AI1522" s="627"/>
      <c r="AJ1522" s="627"/>
      <c r="AK1522" s="627"/>
      <c r="AL1522" s="627"/>
    </row>
    <row r="1523" spans="1:38" ht="11.1" customHeight="1" x14ac:dyDescent="0.25">
      <c r="A1523" s="630" t="s">
        <v>4742</v>
      </c>
      <c r="B1523" s="630"/>
      <c r="C1523" s="630"/>
      <c r="M1523" s="630" t="s">
        <v>1753</v>
      </c>
      <c r="N1523" s="630"/>
      <c r="O1523" s="630"/>
      <c r="P1523" s="630"/>
      <c r="Q1523" s="627">
        <v>-1806303.01</v>
      </c>
      <c r="R1523" s="627"/>
      <c r="T1523" s="631">
        <v>0</v>
      </c>
      <c r="U1523" s="631"/>
      <c r="V1523" s="631"/>
      <c r="Y1523" s="631">
        <v>0</v>
      </c>
      <c r="Z1523" s="631"/>
      <c r="AA1523" s="631"/>
      <c r="AB1523" s="631"/>
      <c r="AC1523" s="631"/>
      <c r="AD1523" s="631"/>
      <c r="AF1523" s="627">
        <v>-1806303.01</v>
      </c>
      <c r="AG1523" s="627"/>
      <c r="AH1523" s="627"/>
      <c r="AI1523" s="627"/>
      <c r="AJ1523" s="627"/>
      <c r="AK1523" s="627"/>
      <c r="AL1523" s="627"/>
    </row>
    <row r="1524" spans="1:38" ht="11.1" customHeight="1" x14ac:dyDescent="0.25">
      <c r="A1524" s="632" t="s">
        <v>4743</v>
      </c>
      <c r="B1524" s="632"/>
      <c r="C1524" s="632"/>
      <c r="J1524" s="632" t="s">
        <v>1952</v>
      </c>
      <c r="K1524" s="632"/>
      <c r="L1524" s="632"/>
      <c r="M1524" s="632"/>
      <c r="N1524" s="632"/>
      <c r="O1524" s="632"/>
      <c r="P1524" s="632"/>
      <c r="Q1524" s="633">
        <v>-2562694.9900000002</v>
      </c>
      <c r="R1524" s="633"/>
      <c r="T1524" s="634">
        <v>0</v>
      </c>
      <c r="U1524" s="634"/>
      <c r="V1524" s="634"/>
      <c r="Y1524" s="634">
        <v>0</v>
      </c>
      <c r="Z1524" s="634"/>
      <c r="AA1524" s="634"/>
      <c r="AB1524" s="634"/>
      <c r="AC1524" s="634"/>
      <c r="AD1524" s="634"/>
      <c r="AF1524" s="633">
        <v>-2562694.9900000002</v>
      </c>
      <c r="AG1524" s="633"/>
      <c r="AH1524" s="633"/>
      <c r="AI1524" s="633"/>
      <c r="AJ1524" s="633"/>
      <c r="AK1524" s="633"/>
      <c r="AL1524" s="633"/>
    </row>
    <row r="1525" spans="1:38" ht="11.1" customHeight="1" x14ac:dyDescent="0.25">
      <c r="A1525" s="630" t="s">
        <v>4744</v>
      </c>
      <c r="B1525" s="630"/>
      <c r="C1525" s="630"/>
      <c r="K1525" s="630" t="s">
        <v>581</v>
      </c>
      <c r="L1525" s="630"/>
      <c r="M1525" s="630"/>
      <c r="N1525" s="630"/>
      <c r="O1525" s="630"/>
      <c r="P1525" s="630"/>
      <c r="Q1525" s="627">
        <v>-2562694.9900000002</v>
      </c>
      <c r="R1525" s="627"/>
      <c r="T1525" s="631">
        <v>0</v>
      </c>
      <c r="U1525" s="631"/>
      <c r="V1525" s="631"/>
      <c r="Y1525" s="631">
        <v>0</v>
      </c>
      <c r="Z1525" s="631"/>
      <c r="AA1525" s="631"/>
      <c r="AB1525" s="631"/>
      <c r="AC1525" s="631"/>
      <c r="AD1525" s="631"/>
      <c r="AF1525" s="627">
        <v>-2562694.9900000002</v>
      </c>
      <c r="AG1525" s="627"/>
      <c r="AH1525" s="627"/>
      <c r="AI1525" s="627"/>
      <c r="AJ1525" s="627"/>
      <c r="AK1525" s="627"/>
      <c r="AL1525" s="627"/>
    </row>
    <row r="1526" spans="1:38" ht="11.1" customHeight="1" x14ac:dyDescent="0.25">
      <c r="A1526" s="630" t="s">
        <v>4745</v>
      </c>
      <c r="B1526" s="630"/>
      <c r="C1526" s="630"/>
      <c r="M1526" s="630" t="s">
        <v>1753</v>
      </c>
      <c r="N1526" s="630"/>
      <c r="O1526" s="630"/>
      <c r="P1526" s="630"/>
      <c r="Q1526" s="627">
        <v>-2562694.9900000002</v>
      </c>
      <c r="R1526" s="627"/>
      <c r="T1526" s="631">
        <v>0</v>
      </c>
      <c r="U1526" s="631"/>
      <c r="V1526" s="631"/>
      <c r="Y1526" s="631">
        <v>0</v>
      </c>
      <c r="Z1526" s="631"/>
      <c r="AA1526" s="631"/>
      <c r="AB1526" s="631"/>
      <c r="AC1526" s="631"/>
      <c r="AD1526" s="631"/>
      <c r="AF1526" s="627">
        <v>-2562694.9900000002</v>
      </c>
      <c r="AG1526" s="627"/>
      <c r="AH1526" s="627"/>
      <c r="AI1526" s="627"/>
      <c r="AJ1526" s="627"/>
      <c r="AK1526" s="627"/>
      <c r="AL1526" s="627"/>
    </row>
    <row r="1527" spans="1:38" ht="11.1" customHeight="1" x14ac:dyDescent="0.25">
      <c r="A1527" s="632" t="s">
        <v>4746</v>
      </c>
      <c r="B1527" s="632"/>
      <c r="C1527" s="632"/>
      <c r="J1527" s="632" t="s">
        <v>1956</v>
      </c>
      <c r="K1527" s="632"/>
      <c r="L1527" s="632"/>
      <c r="M1527" s="632"/>
      <c r="N1527" s="632"/>
      <c r="O1527" s="632"/>
      <c r="P1527" s="632"/>
      <c r="Q1527" s="633">
        <v>-1625736.8</v>
      </c>
      <c r="R1527" s="633"/>
      <c r="T1527" s="634">
        <v>0</v>
      </c>
      <c r="U1527" s="634"/>
      <c r="V1527" s="634"/>
      <c r="Y1527" s="634">
        <v>0</v>
      </c>
      <c r="Z1527" s="634"/>
      <c r="AA1527" s="634"/>
      <c r="AB1527" s="634"/>
      <c r="AC1527" s="634"/>
      <c r="AD1527" s="634"/>
      <c r="AF1527" s="633">
        <v>-1625736.8</v>
      </c>
      <c r="AG1527" s="633"/>
      <c r="AH1527" s="633"/>
      <c r="AI1527" s="633"/>
      <c r="AJ1527" s="633"/>
      <c r="AK1527" s="633"/>
      <c r="AL1527" s="633"/>
    </row>
    <row r="1528" spans="1:38" ht="11.1" customHeight="1" x14ac:dyDescent="0.25">
      <c r="A1528" s="630" t="s">
        <v>4747</v>
      </c>
      <c r="B1528" s="630"/>
      <c r="C1528" s="630"/>
      <c r="K1528" s="630" t="s">
        <v>581</v>
      </c>
      <c r="L1528" s="630"/>
      <c r="M1528" s="630"/>
      <c r="N1528" s="630"/>
      <c r="O1528" s="630"/>
      <c r="P1528" s="630"/>
      <c r="Q1528" s="627">
        <v>-1625736.8</v>
      </c>
      <c r="R1528" s="627"/>
      <c r="T1528" s="631">
        <v>0</v>
      </c>
      <c r="U1528" s="631"/>
      <c r="V1528" s="631"/>
      <c r="Y1528" s="631">
        <v>0</v>
      </c>
      <c r="Z1528" s="631"/>
      <c r="AA1528" s="631"/>
      <c r="AB1528" s="631"/>
      <c r="AC1528" s="631"/>
      <c r="AD1528" s="631"/>
      <c r="AF1528" s="627">
        <v>-1625736.8</v>
      </c>
      <c r="AG1528" s="627"/>
      <c r="AH1528" s="627"/>
      <c r="AI1528" s="627"/>
      <c r="AJ1528" s="627"/>
      <c r="AK1528" s="627"/>
      <c r="AL1528" s="627"/>
    </row>
    <row r="1529" spans="1:38" ht="11.1" customHeight="1" x14ac:dyDescent="0.25">
      <c r="A1529" s="630" t="s">
        <v>4748</v>
      </c>
      <c r="B1529" s="630"/>
      <c r="C1529" s="630"/>
      <c r="M1529" s="630" t="s">
        <v>1753</v>
      </c>
      <c r="N1529" s="630"/>
      <c r="O1529" s="630"/>
      <c r="P1529" s="630"/>
      <c r="Q1529" s="627">
        <v>-1625736.8</v>
      </c>
      <c r="R1529" s="627"/>
      <c r="T1529" s="631">
        <v>0</v>
      </c>
      <c r="U1529" s="631"/>
      <c r="V1529" s="631"/>
      <c r="Y1529" s="631">
        <v>0</v>
      </c>
      <c r="Z1529" s="631"/>
      <c r="AA1529" s="631"/>
      <c r="AB1529" s="631"/>
      <c r="AC1529" s="631"/>
      <c r="AD1529" s="631"/>
      <c r="AF1529" s="627">
        <v>-1625736.8</v>
      </c>
      <c r="AG1529" s="627"/>
      <c r="AH1529" s="627"/>
      <c r="AI1529" s="627"/>
      <c r="AJ1529" s="627"/>
      <c r="AK1529" s="627"/>
      <c r="AL1529" s="627"/>
    </row>
    <row r="1530" spans="1:38" ht="11.1" customHeight="1" x14ac:dyDescent="0.25">
      <c r="A1530" s="632" t="s">
        <v>4749</v>
      </c>
      <c r="B1530" s="632"/>
      <c r="C1530" s="632"/>
      <c r="J1530" s="632" t="s">
        <v>1960</v>
      </c>
      <c r="K1530" s="632"/>
      <c r="L1530" s="632"/>
      <c r="M1530" s="632"/>
      <c r="N1530" s="632"/>
      <c r="O1530" s="632"/>
      <c r="P1530" s="632"/>
      <c r="Q1530" s="633">
        <v>-20465.689999999999</v>
      </c>
      <c r="R1530" s="633"/>
      <c r="T1530" s="634">
        <v>0</v>
      </c>
      <c r="U1530" s="634"/>
      <c r="V1530" s="634"/>
      <c r="Y1530" s="634">
        <v>0</v>
      </c>
      <c r="Z1530" s="634"/>
      <c r="AA1530" s="634"/>
      <c r="AB1530" s="634"/>
      <c r="AC1530" s="634"/>
      <c r="AD1530" s="634"/>
      <c r="AF1530" s="633">
        <v>-20465.689999999999</v>
      </c>
      <c r="AG1530" s="633"/>
      <c r="AH1530" s="633"/>
      <c r="AI1530" s="633"/>
      <c r="AJ1530" s="633"/>
      <c r="AK1530" s="633"/>
      <c r="AL1530" s="633"/>
    </row>
    <row r="1531" spans="1:38" ht="11.1" customHeight="1" x14ac:dyDescent="0.25">
      <c r="A1531" s="630" t="s">
        <v>4750</v>
      </c>
      <c r="B1531" s="630"/>
      <c r="C1531" s="630"/>
      <c r="K1531" s="630" t="s">
        <v>581</v>
      </c>
      <c r="L1531" s="630"/>
      <c r="M1531" s="630"/>
      <c r="N1531" s="630"/>
      <c r="O1531" s="630"/>
      <c r="P1531" s="630"/>
      <c r="Q1531" s="627">
        <v>-20465.689999999999</v>
      </c>
      <c r="R1531" s="627"/>
      <c r="T1531" s="631">
        <v>0</v>
      </c>
      <c r="U1531" s="631"/>
      <c r="V1531" s="631"/>
      <c r="Y1531" s="631">
        <v>0</v>
      </c>
      <c r="Z1531" s="631"/>
      <c r="AA1531" s="631"/>
      <c r="AB1531" s="631"/>
      <c r="AC1531" s="631"/>
      <c r="AD1531" s="631"/>
      <c r="AF1531" s="627">
        <v>-20465.689999999999</v>
      </c>
      <c r="AG1531" s="627"/>
      <c r="AH1531" s="627"/>
      <c r="AI1531" s="627"/>
      <c r="AJ1531" s="627"/>
      <c r="AK1531" s="627"/>
      <c r="AL1531" s="627"/>
    </row>
    <row r="1532" spans="1:38" ht="11.1" customHeight="1" x14ac:dyDescent="0.25">
      <c r="A1532" s="630" t="s">
        <v>4751</v>
      </c>
      <c r="B1532" s="630"/>
      <c r="C1532" s="630"/>
      <c r="M1532" s="630" t="s">
        <v>1753</v>
      </c>
      <c r="N1532" s="630"/>
      <c r="O1532" s="630"/>
      <c r="P1532" s="630"/>
      <c r="Q1532" s="627">
        <v>-20465.689999999999</v>
      </c>
      <c r="R1532" s="627"/>
      <c r="T1532" s="631">
        <v>0</v>
      </c>
      <c r="U1532" s="631"/>
      <c r="V1532" s="631"/>
      <c r="Y1532" s="631">
        <v>0</v>
      </c>
      <c r="Z1532" s="631"/>
      <c r="AA1532" s="631"/>
      <c r="AB1532" s="631"/>
      <c r="AC1532" s="631"/>
      <c r="AD1532" s="631"/>
      <c r="AF1532" s="627">
        <v>-20465.689999999999</v>
      </c>
      <c r="AG1532" s="627"/>
      <c r="AH1532" s="627"/>
      <c r="AI1532" s="627"/>
      <c r="AJ1532" s="627"/>
      <c r="AK1532" s="627"/>
      <c r="AL1532" s="627"/>
    </row>
    <row r="1533" spans="1:38" ht="11.1" customHeight="1" x14ac:dyDescent="0.25">
      <c r="A1533" s="632" t="s">
        <v>4752</v>
      </c>
      <c r="B1533" s="632"/>
      <c r="C1533" s="632"/>
      <c r="J1533" s="632" t="s">
        <v>1964</v>
      </c>
      <c r="K1533" s="632"/>
      <c r="L1533" s="632"/>
      <c r="M1533" s="632"/>
      <c r="N1533" s="632"/>
      <c r="O1533" s="632"/>
      <c r="P1533" s="632"/>
      <c r="Q1533" s="633">
        <v>230276.28</v>
      </c>
      <c r="R1533" s="633"/>
      <c r="T1533" s="634">
        <v>0</v>
      </c>
      <c r="U1533" s="634"/>
      <c r="V1533" s="634"/>
      <c r="Y1533" s="634">
        <v>0</v>
      </c>
      <c r="Z1533" s="634"/>
      <c r="AA1533" s="634"/>
      <c r="AB1533" s="634"/>
      <c r="AC1533" s="634"/>
      <c r="AD1533" s="634"/>
      <c r="AF1533" s="633">
        <v>230276.28</v>
      </c>
      <c r="AG1533" s="633"/>
      <c r="AH1533" s="633"/>
      <c r="AI1533" s="633"/>
      <c r="AJ1533" s="633"/>
      <c r="AK1533" s="633"/>
      <c r="AL1533" s="633"/>
    </row>
    <row r="1534" spans="1:38" ht="11.1" customHeight="1" x14ac:dyDescent="0.25">
      <c r="A1534" s="630" t="s">
        <v>4753</v>
      </c>
      <c r="B1534" s="630"/>
      <c r="C1534" s="630"/>
      <c r="K1534" s="630" t="s">
        <v>581</v>
      </c>
      <c r="L1534" s="630"/>
      <c r="M1534" s="630"/>
      <c r="N1534" s="630"/>
      <c r="O1534" s="630"/>
      <c r="P1534" s="630"/>
      <c r="Q1534" s="627">
        <v>230276.28</v>
      </c>
      <c r="R1534" s="627"/>
      <c r="T1534" s="631">
        <v>0</v>
      </c>
      <c r="U1534" s="631"/>
      <c r="V1534" s="631"/>
      <c r="Y1534" s="631">
        <v>0</v>
      </c>
      <c r="Z1534" s="631"/>
      <c r="AA1534" s="631"/>
      <c r="AB1534" s="631"/>
      <c r="AC1534" s="631"/>
      <c r="AD1534" s="631"/>
      <c r="AF1534" s="627">
        <v>230276.28</v>
      </c>
      <c r="AG1534" s="627"/>
      <c r="AH1534" s="627"/>
      <c r="AI1534" s="627"/>
      <c r="AJ1534" s="627"/>
      <c r="AK1534" s="627"/>
      <c r="AL1534" s="627"/>
    </row>
    <row r="1535" spans="1:38" ht="11.1" customHeight="1" x14ac:dyDescent="0.25">
      <c r="A1535" s="630" t="s">
        <v>4754</v>
      </c>
      <c r="B1535" s="630"/>
      <c r="C1535" s="630"/>
      <c r="M1535" s="630" t="s">
        <v>2990</v>
      </c>
      <c r="N1535" s="630"/>
      <c r="O1535" s="630"/>
      <c r="P1535" s="630"/>
      <c r="Q1535" s="627">
        <v>230276.28</v>
      </c>
      <c r="R1535" s="627"/>
      <c r="T1535" s="631">
        <v>0</v>
      </c>
      <c r="U1535" s="631"/>
      <c r="V1535" s="631"/>
      <c r="Y1535" s="631">
        <v>0</v>
      </c>
      <c r="Z1535" s="631"/>
      <c r="AA1535" s="631"/>
      <c r="AB1535" s="631"/>
      <c r="AC1535" s="631"/>
      <c r="AD1535" s="631"/>
      <c r="AF1535" s="627">
        <v>230276.28</v>
      </c>
      <c r="AG1535" s="627"/>
      <c r="AH1535" s="627"/>
      <c r="AI1535" s="627"/>
      <c r="AJ1535" s="627"/>
      <c r="AK1535" s="627"/>
      <c r="AL1535" s="627"/>
    </row>
    <row r="1536" spans="1:38" ht="11.1" customHeight="1" x14ac:dyDescent="0.25">
      <c r="A1536" s="632" t="s">
        <v>4755</v>
      </c>
      <c r="B1536" s="632"/>
      <c r="C1536" s="632"/>
      <c r="J1536" s="632" t="s">
        <v>1967</v>
      </c>
      <c r="K1536" s="632"/>
      <c r="L1536" s="632"/>
      <c r="M1536" s="632"/>
      <c r="N1536" s="632"/>
      <c r="O1536" s="632"/>
      <c r="P1536" s="632"/>
      <c r="Q1536" s="633">
        <v>-12368.12</v>
      </c>
      <c r="R1536" s="633"/>
      <c r="T1536" s="634">
        <v>0</v>
      </c>
      <c r="U1536" s="634"/>
      <c r="V1536" s="634"/>
      <c r="Y1536" s="634">
        <v>0</v>
      </c>
      <c r="Z1536" s="634"/>
      <c r="AA1536" s="634"/>
      <c r="AB1536" s="634"/>
      <c r="AC1536" s="634"/>
      <c r="AD1536" s="634"/>
      <c r="AF1536" s="633">
        <v>-12368.12</v>
      </c>
      <c r="AG1536" s="633"/>
      <c r="AH1536" s="633"/>
      <c r="AI1536" s="633"/>
      <c r="AJ1536" s="633"/>
      <c r="AK1536" s="633"/>
      <c r="AL1536" s="633"/>
    </row>
    <row r="1537" spans="1:38" ht="11.1" customHeight="1" x14ac:dyDescent="0.25">
      <c r="A1537" s="630" t="s">
        <v>4756</v>
      </c>
      <c r="B1537" s="630"/>
      <c r="C1537" s="630"/>
      <c r="K1537" s="630" t="s">
        <v>581</v>
      </c>
      <c r="L1537" s="630"/>
      <c r="M1537" s="630"/>
      <c r="N1537" s="630"/>
      <c r="O1537" s="630"/>
      <c r="P1537" s="630"/>
      <c r="Q1537" s="627">
        <v>-12368.12</v>
      </c>
      <c r="R1537" s="627"/>
      <c r="T1537" s="631">
        <v>0</v>
      </c>
      <c r="U1537" s="631"/>
      <c r="V1537" s="631"/>
      <c r="Y1537" s="631">
        <v>0</v>
      </c>
      <c r="Z1537" s="631"/>
      <c r="AA1537" s="631"/>
      <c r="AB1537" s="631"/>
      <c r="AC1537" s="631"/>
      <c r="AD1537" s="631"/>
      <c r="AF1537" s="627">
        <v>-12368.12</v>
      </c>
      <c r="AG1537" s="627"/>
      <c r="AH1537" s="627"/>
      <c r="AI1537" s="627"/>
      <c r="AJ1537" s="627"/>
      <c r="AK1537" s="627"/>
      <c r="AL1537" s="627"/>
    </row>
    <row r="1538" spans="1:38" ht="11.1" customHeight="1" x14ac:dyDescent="0.25">
      <c r="A1538" s="630" t="s">
        <v>4757</v>
      </c>
      <c r="B1538" s="630"/>
      <c r="C1538" s="630"/>
      <c r="M1538" s="630" t="s">
        <v>1753</v>
      </c>
      <c r="N1538" s="630"/>
      <c r="O1538" s="630"/>
      <c r="P1538" s="630"/>
      <c r="Q1538" s="627">
        <v>-12368.12</v>
      </c>
      <c r="R1538" s="627"/>
      <c r="T1538" s="631">
        <v>0</v>
      </c>
      <c r="U1538" s="631"/>
      <c r="V1538" s="631"/>
      <c r="Y1538" s="631">
        <v>0</v>
      </c>
      <c r="Z1538" s="631"/>
      <c r="AA1538" s="631"/>
      <c r="AB1538" s="631"/>
      <c r="AC1538" s="631"/>
      <c r="AD1538" s="631"/>
      <c r="AF1538" s="627">
        <v>-12368.12</v>
      </c>
      <c r="AG1538" s="627"/>
      <c r="AH1538" s="627"/>
      <c r="AI1538" s="627"/>
      <c r="AJ1538" s="627"/>
      <c r="AK1538" s="627"/>
      <c r="AL1538" s="627"/>
    </row>
    <row r="1539" spans="1:38" ht="11.1" customHeight="1" x14ac:dyDescent="0.25">
      <c r="A1539" s="632" t="s">
        <v>4758</v>
      </c>
      <c r="B1539" s="632"/>
      <c r="C1539" s="632"/>
      <c r="J1539" s="632" t="s">
        <v>1971</v>
      </c>
      <c r="K1539" s="632"/>
      <c r="L1539" s="632"/>
      <c r="M1539" s="632"/>
      <c r="N1539" s="632"/>
      <c r="O1539" s="632"/>
      <c r="P1539" s="632"/>
      <c r="Q1539" s="633">
        <v>-144146.56</v>
      </c>
      <c r="R1539" s="633"/>
      <c r="T1539" s="634">
        <v>0</v>
      </c>
      <c r="U1539" s="634"/>
      <c r="V1539" s="634"/>
      <c r="Y1539" s="634">
        <v>0</v>
      </c>
      <c r="Z1539" s="634"/>
      <c r="AA1539" s="634"/>
      <c r="AB1539" s="634"/>
      <c r="AC1539" s="634"/>
      <c r="AD1539" s="634"/>
      <c r="AF1539" s="633">
        <v>-144146.56</v>
      </c>
      <c r="AG1539" s="633"/>
      <c r="AH1539" s="633"/>
      <c r="AI1539" s="633"/>
      <c r="AJ1539" s="633"/>
      <c r="AK1539" s="633"/>
      <c r="AL1539" s="633"/>
    </row>
    <row r="1540" spans="1:38" ht="11.1" customHeight="1" x14ac:dyDescent="0.25">
      <c r="A1540" s="630" t="s">
        <v>4759</v>
      </c>
      <c r="B1540" s="630"/>
      <c r="C1540" s="630"/>
      <c r="K1540" s="630" t="s">
        <v>581</v>
      </c>
      <c r="L1540" s="630"/>
      <c r="M1540" s="630"/>
      <c r="N1540" s="630"/>
      <c r="O1540" s="630"/>
      <c r="P1540" s="630"/>
      <c r="Q1540" s="627">
        <v>-144146.56</v>
      </c>
      <c r="R1540" s="627"/>
      <c r="T1540" s="631">
        <v>0</v>
      </c>
      <c r="U1540" s="631"/>
      <c r="V1540" s="631"/>
      <c r="Y1540" s="631">
        <v>0</v>
      </c>
      <c r="Z1540" s="631"/>
      <c r="AA1540" s="631"/>
      <c r="AB1540" s="631"/>
      <c r="AC1540" s="631"/>
      <c r="AD1540" s="631"/>
      <c r="AF1540" s="627">
        <v>-144146.56</v>
      </c>
      <c r="AG1540" s="627"/>
      <c r="AH1540" s="627"/>
      <c r="AI1540" s="627"/>
      <c r="AJ1540" s="627"/>
      <c r="AK1540" s="627"/>
      <c r="AL1540" s="627"/>
    </row>
    <row r="1541" spans="1:38" ht="11.1" customHeight="1" x14ac:dyDescent="0.25">
      <c r="A1541" s="630" t="s">
        <v>4760</v>
      </c>
      <c r="B1541" s="630"/>
      <c r="C1541" s="630"/>
      <c r="M1541" s="630" t="s">
        <v>1974</v>
      </c>
      <c r="N1541" s="630"/>
      <c r="O1541" s="630"/>
      <c r="P1541" s="630"/>
      <c r="Q1541" s="627">
        <v>-144146.56</v>
      </c>
      <c r="R1541" s="627"/>
      <c r="T1541" s="631">
        <v>0</v>
      </c>
      <c r="U1541" s="631"/>
      <c r="V1541" s="631"/>
      <c r="Y1541" s="631">
        <v>0</v>
      </c>
      <c r="Z1541" s="631"/>
      <c r="AA1541" s="631"/>
      <c r="AB1541" s="631"/>
      <c r="AC1541" s="631"/>
      <c r="AD1541" s="631"/>
      <c r="AF1541" s="627">
        <v>-144146.56</v>
      </c>
      <c r="AG1541" s="627"/>
      <c r="AH1541" s="627"/>
      <c r="AI1541" s="627"/>
      <c r="AJ1541" s="627"/>
      <c r="AK1541" s="627"/>
      <c r="AL1541" s="627"/>
    </row>
    <row r="1542" spans="1:38" ht="11.1" customHeight="1" x14ac:dyDescent="0.25">
      <c r="A1542" s="632" t="s">
        <v>4761</v>
      </c>
      <c r="B1542" s="632"/>
      <c r="C1542" s="632"/>
      <c r="J1542" s="632" t="s">
        <v>2992</v>
      </c>
      <c r="K1542" s="632"/>
      <c r="L1542" s="632"/>
      <c r="M1542" s="632"/>
      <c r="N1542" s="632"/>
      <c r="O1542" s="632"/>
      <c r="P1542" s="632"/>
      <c r="Q1542" s="633">
        <v>-308399.02</v>
      </c>
      <c r="R1542" s="633"/>
      <c r="T1542" s="634">
        <v>0</v>
      </c>
      <c r="U1542" s="634"/>
      <c r="V1542" s="634"/>
      <c r="Y1542" s="634">
        <v>0</v>
      </c>
      <c r="Z1542" s="634"/>
      <c r="AA1542" s="634"/>
      <c r="AB1542" s="634"/>
      <c r="AC1542" s="634"/>
      <c r="AD1542" s="634"/>
      <c r="AF1542" s="633">
        <v>-308399.02</v>
      </c>
      <c r="AG1542" s="633"/>
      <c r="AH1542" s="633"/>
      <c r="AI1542" s="633"/>
      <c r="AJ1542" s="633"/>
      <c r="AK1542" s="633"/>
      <c r="AL1542" s="633"/>
    </row>
    <row r="1543" spans="1:38" ht="11.1" customHeight="1" x14ac:dyDescent="0.25">
      <c r="A1543" s="630" t="s">
        <v>4762</v>
      </c>
      <c r="B1543" s="630"/>
      <c r="C1543" s="630"/>
      <c r="K1543" s="630" t="s">
        <v>581</v>
      </c>
      <c r="L1543" s="630"/>
      <c r="M1543" s="630"/>
      <c r="N1543" s="630"/>
      <c r="O1543" s="630"/>
      <c r="P1543" s="630"/>
      <c r="Q1543" s="627">
        <v>-308399.02</v>
      </c>
      <c r="R1543" s="627"/>
      <c r="T1543" s="631">
        <v>0</v>
      </c>
      <c r="U1543" s="631"/>
      <c r="V1543" s="631"/>
      <c r="Y1543" s="631">
        <v>0</v>
      </c>
      <c r="Z1543" s="631"/>
      <c r="AA1543" s="631"/>
      <c r="AB1543" s="631"/>
      <c r="AC1543" s="631"/>
      <c r="AD1543" s="631"/>
      <c r="AF1543" s="627">
        <v>-308399.02</v>
      </c>
      <c r="AG1543" s="627"/>
      <c r="AH1543" s="627"/>
      <c r="AI1543" s="627"/>
      <c r="AJ1543" s="627"/>
      <c r="AK1543" s="627"/>
      <c r="AL1543" s="627"/>
    </row>
    <row r="1544" spans="1:38" ht="11.1" customHeight="1" x14ac:dyDescent="0.25">
      <c r="A1544" s="630" t="s">
        <v>4763</v>
      </c>
      <c r="B1544" s="630"/>
      <c r="C1544" s="630"/>
      <c r="M1544" s="630" t="s">
        <v>1731</v>
      </c>
      <c r="N1544" s="630"/>
      <c r="O1544" s="630"/>
      <c r="P1544" s="630"/>
      <c r="Q1544" s="627">
        <v>-308399.02</v>
      </c>
      <c r="R1544" s="627"/>
      <c r="T1544" s="631">
        <v>0</v>
      </c>
      <c r="U1544" s="631"/>
      <c r="V1544" s="631"/>
      <c r="Y1544" s="631">
        <v>0</v>
      </c>
      <c r="Z1544" s="631"/>
      <c r="AA1544" s="631"/>
      <c r="AB1544" s="631"/>
      <c r="AC1544" s="631"/>
      <c r="AD1544" s="631"/>
      <c r="AF1544" s="627">
        <v>-308399.02</v>
      </c>
      <c r="AG1544" s="627"/>
      <c r="AH1544" s="627"/>
      <c r="AI1544" s="627"/>
      <c r="AJ1544" s="627"/>
      <c r="AK1544" s="627"/>
      <c r="AL1544" s="627"/>
    </row>
    <row r="1545" spans="1:38" ht="11.1" customHeight="1" x14ac:dyDescent="0.25">
      <c r="A1545" s="632" t="s">
        <v>4764</v>
      </c>
      <c r="B1545" s="632"/>
      <c r="C1545" s="632"/>
      <c r="J1545" s="632" t="s">
        <v>1976</v>
      </c>
      <c r="K1545" s="632"/>
      <c r="L1545" s="632"/>
      <c r="M1545" s="632"/>
      <c r="N1545" s="632"/>
      <c r="O1545" s="632"/>
      <c r="P1545" s="632"/>
      <c r="Q1545" s="633">
        <v>-150261.54</v>
      </c>
      <c r="R1545" s="633"/>
      <c r="T1545" s="634">
        <v>0</v>
      </c>
      <c r="U1545" s="634"/>
      <c r="V1545" s="634"/>
      <c r="Y1545" s="634">
        <v>0</v>
      </c>
      <c r="Z1545" s="634"/>
      <c r="AA1545" s="634"/>
      <c r="AB1545" s="634"/>
      <c r="AC1545" s="634"/>
      <c r="AD1545" s="634"/>
      <c r="AF1545" s="633">
        <v>-150261.54</v>
      </c>
      <c r="AG1545" s="633"/>
      <c r="AH1545" s="633"/>
      <c r="AI1545" s="633"/>
      <c r="AJ1545" s="633"/>
      <c r="AK1545" s="633"/>
      <c r="AL1545" s="633"/>
    </row>
    <row r="1546" spans="1:38" ht="11.1" customHeight="1" x14ac:dyDescent="0.25">
      <c r="A1546" s="630" t="s">
        <v>4765</v>
      </c>
      <c r="B1546" s="630"/>
      <c r="C1546" s="630"/>
      <c r="K1546" s="630" t="s">
        <v>581</v>
      </c>
      <c r="L1546" s="630"/>
      <c r="M1546" s="630"/>
      <c r="N1546" s="630"/>
      <c r="O1546" s="630"/>
      <c r="P1546" s="630"/>
      <c r="Q1546" s="627">
        <v>-150261.54</v>
      </c>
      <c r="R1546" s="627"/>
      <c r="T1546" s="631">
        <v>0</v>
      </c>
      <c r="U1546" s="631"/>
      <c r="V1546" s="631"/>
      <c r="Y1546" s="631">
        <v>0</v>
      </c>
      <c r="Z1546" s="631"/>
      <c r="AA1546" s="631"/>
      <c r="AB1546" s="631"/>
      <c r="AC1546" s="631"/>
      <c r="AD1546" s="631"/>
      <c r="AF1546" s="627">
        <v>-150261.54</v>
      </c>
      <c r="AG1546" s="627"/>
      <c r="AH1546" s="627"/>
      <c r="AI1546" s="627"/>
      <c r="AJ1546" s="627"/>
      <c r="AK1546" s="627"/>
      <c r="AL1546" s="627"/>
    </row>
    <row r="1547" spans="1:38" ht="11.1" customHeight="1" x14ac:dyDescent="0.25">
      <c r="A1547" s="630" t="s">
        <v>4766</v>
      </c>
      <c r="B1547" s="630"/>
      <c r="C1547" s="630"/>
      <c r="M1547" s="630" t="s">
        <v>1753</v>
      </c>
      <c r="N1547" s="630"/>
      <c r="O1547" s="630"/>
      <c r="P1547" s="630"/>
      <c r="Q1547" s="627">
        <v>-150261.54</v>
      </c>
      <c r="R1547" s="627"/>
      <c r="T1547" s="631">
        <v>0</v>
      </c>
      <c r="U1547" s="631"/>
      <c r="V1547" s="631"/>
      <c r="Y1547" s="631">
        <v>0</v>
      </c>
      <c r="Z1547" s="631"/>
      <c r="AA1547" s="631"/>
      <c r="AB1547" s="631"/>
      <c r="AC1547" s="631"/>
      <c r="AD1547" s="631"/>
      <c r="AF1547" s="627">
        <v>-150261.54</v>
      </c>
      <c r="AG1547" s="627"/>
      <c r="AH1547" s="627"/>
      <c r="AI1547" s="627"/>
      <c r="AJ1547" s="627"/>
      <c r="AK1547" s="627"/>
      <c r="AL1547" s="627"/>
    </row>
    <row r="1548" spans="1:38" ht="11.1" customHeight="1" x14ac:dyDescent="0.25">
      <c r="A1548" s="632" t="s">
        <v>4767</v>
      </c>
      <c r="B1548" s="632"/>
      <c r="C1548" s="632"/>
      <c r="I1548" s="632" t="s">
        <v>1529</v>
      </c>
      <c r="J1548" s="632"/>
      <c r="K1548" s="632"/>
      <c r="L1548" s="632"/>
      <c r="M1548" s="632"/>
      <c r="N1548" s="632"/>
      <c r="O1548" s="632"/>
      <c r="P1548" s="632"/>
      <c r="Q1548" s="633">
        <v>28526986.09</v>
      </c>
      <c r="R1548" s="633"/>
      <c r="T1548" s="634">
        <v>10442195.109999999</v>
      </c>
      <c r="U1548" s="634"/>
      <c r="V1548" s="634"/>
      <c r="Y1548" s="634">
        <v>3468001.79</v>
      </c>
      <c r="Z1548" s="634"/>
      <c r="AA1548" s="634"/>
      <c r="AB1548" s="634"/>
      <c r="AC1548" s="634"/>
      <c r="AD1548" s="634"/>
      <c r="AF1548" s="633">
        <v>35501179.409999996</v>
      </c>
      <c r="AG1548" s="633"/>
      <c r="AH1548" s="633"/>
      <c r="AI1548" s="633"/>
      <c r="AJ1548" s="633"/>
      <c r="AK1548" s="633"/>
      <c r="AL1548" s="633"/>
    </row>
    <row r="1549" spans="1:38" ht="11.1" customHeight="1" x14ac:dyDescent="0.25">
      <c r="A1549" s="632" t="s">
        <v>4768</v>
      </c>
      <c r="B1549" s="632"/>
      <c r="C1549" s="632"/>
      <c r="J1549" s="632" t="s">
        <v>1981</v>
      </c>
      <c r="K1549" s="632"/>
      <c r="L1549" s="632"/>
      <c r="M1549" s="632"/>
      <c r="N1549" s="632"/>
      <c r="O1549" s="632"/>
      <c r="P1549" s="632"/>
      <c r="Q1549" s="633">
        <v>28525005.649999999</v>
      </c>
      <c r="R1549" s="633"/>
      <c r="T1549" s="634">
        <v>10442195.109999999</v>
      </c>
      <c r="U1549" s="634"/>
      <c r="V1549" s="634"/>
      <c r="Y1549" s="634">
        <v>3468001.79</v>
      </c>
      <c r="Z1549" s="634"/>
      <c r="AA1549" s="634"/>
      <c r="AB1549" s="634"/>
      <c r="AC1549" s="634"/>
      <c r="AD1549" s="634"/>
      <c r="AF1549" s="633">
        <v>35499198.969999999</v>
      </c>
      <c r="AG1549" s="633"/>
      <c r="AH1549" s="633"/>
      <c r="AI1549" s="633"/>
      <c r="AJ1549" s="633"/>
      <c r="AK1549" s="633"/>
      <c r="AL1549" s="633"/>
    </row>
    <row r="1550" spans="1:38" ht="11.1" customHeight="1" x14ac:dyDescent="0.25">
      <c r="A1550" s="630" t="s">
        <v>4769</v>
      </c>
      <c r="B1550" s="630"/>
      <c r="C1550" s="630"/>
      <c r="K1550" s="630" t="s">
        <v>1983</v>
      </c>
      <c r="L1550" s="630"/>
      <c r="M1550" s="630"/>
      <c r="N1550" s="630"/>
      <c r="O1550" s="630"/>
      <c r="P1550" s="630"/>
      <c r="Q1550" s="627">
        <v>31210485.260000002</v>
      </c>
      <c r="R1550" s="627"/>
      <c r="T1550" s="631">
        <v>10442195.109999999</v>
      </c>
      <c r="U1550" s="631"/>
      <c r="V1550" s="631"/>
      <c r="Y1550" s="631">
        <v>2972201.49</v>
      </c>
      <c r="Z1550" s="631"/>
      <c r="AA1550" s="631"/>
      <c r="AB1550" s="631"/>
      <c r="AC1550" s="631"/>
      <c r="AD1550" s="631"/>
      <c r="AF1550" s="627">
        <v>38680478.880000003</v>
      </c>
      <c r="AG1550" s="627"/>
      <c r="AH1550" s="627"/>
      <c r="AI1550" s="627"/>
      <c r="AJ1550" s="627"/>
      <c r="AK1550" s="627"/>
      <c r="AL1550" s="627"/>
    </row>
    <row r="1551" spans="1:38" ht="11.1" customHeight="1" x14ac:dyDescent="0.25">
      <c r="A1551" s="630" t="s">
        <v>4770</v>
      </c>
      <c r="B1551" s="630"/>
      <c r="C1551" s="630"/>
      <c r="L1551" s="630" t="s">
        <v>1529</v>
      </c>
      <c r="M1551" s="630"/>
      <c r="N1551" s="630"/>
      <c r="O1551" s="630"/>
      <c r="P1551" s="630"/>
      <c r="Q1551" s="627">
        <v>31210485.260000002</v>
      </c>
      <c r="R1551" s="627"/>
      <c r="T1551" s="631">
        <v>10442195.109999999</v>
      </c>
      <c r="U1551" s="631"/>
      <c r="V1551" s="631"/>
      <c r="Y1551" s="631">
        <v>2972201.49</v>
      </c>
      <c r="Z1551" s="631"/>
      <c r="AA1551" s="631"/>
      <c r="AB1551" s="631"/>
      <c r="AC1551" s="631"/>
      <c r="AD1551" s="631"/>
      <c r="AF1551" s="627">
        <v>38680478.880000003</v>
      </c>
      <c r="AG1551" s="627"/>
      <c r="AH1551" s="627"/>
      <c r="AI1551" s="627"/>
      <c r="AJ1551" s="627"/>
      <c r="AK1551" s="627"/>
      <c r="AL1551" s="627"/>
    </row>
    <row r="1552" spans="1:38" ht="11.1" customHeight="1" x14ac:dyDescent="0.25">
      <c r="A1552" s="630" t="s">
        <v>4771</v>
      </c>
      <c r="B1552" s="630"/>
      <c r="C1552" s="630"/>
      <c r="M1552" s="630" t="s">
        <v>1986</v>
      </c>
      <c r="N1552" s="630"/>
      <c r="O1552" s="630"/>
      <c r="P1552" s="630"/>
      <c r="Q1552" s="627">
        <v>2759969.65</v>
      </c>
      <c r="R1552" s="627"/>
      <c r="T1552" s="631">
        <v>4308471.28</v>
      </c>
      <c r="U1552" s="631"/>
      <c r="V1552" s="631"/>
      <c r="Y1552" s="631">
        <v>0</v>
      </c>
      <c r="Z1552" s="631"/>
      <c r="AA1552" s="631"/>
      <c r="AB1552" s="631"/>
      <c r="AC1552" s="631"/>
      <c r="AD1552" s="631"/>
      <c r="AF1552" s="627">
        <v>7068440.9299999997</v>
      </c>
      <c r="AG1552" s="627"/>
      <c r="AH1552" s="627"/>
      <c r="AI1552" s="627"/>
      <c r="AJ1552" s="627"/>
      <c r="AK1552" s="627"/>
      <c r="AL1552" s="627"/>
    </row>
    <row r="1553" spans="1:38" ht="11.1" customHeight="1" x14ac:dyDescent="0.25">
      <c r="A1553" s="630" t="s">
        <v>4772</v>
      </c>
      <c r="B1553" s="630"/>
      <c r="C1553" s="630"/>
      <c r="M1553" s="630" t="s">
        <v>2382</v>
      </c>
      <c r="N1553" s="630"/>
      <c r="O1553" s="630"/>
      <c r="P1553" s="630"/>
      <c r="Q1553" s="627">
        <v>6080121.6200000001</v>
      </c>
      <c r="R1553" s="627"/>
      <c r="T1553" s="631">
        <v>3777067.46</v>
      </c>
      <c r="U1553" s="631"/>
      <c r="V1553" s="631"/>
      <c r="Y1553" s="631">
        <v>2972201.49</v>
      </c>
      <c r="Z1553" s="631"/>
      <c r="AA1553" s="631"/>
      <c r="AB1553" s="631"/>
      <c r="AC1553" s="631"/>
      <c r="AD1553" s="631"/>
      <c r="AF1553" s="627">
        <v>6884987.5899999999</v>
      </c>
      <c r="AG1553" s="627"/>
      <c r="AH1553" s="627"/>
      <c r="AI1553" s="627"/>
      <c r="AJ1553" s="627"/>
      <c r="AK1553" s="627"/>
      <c r="AL1553" s="627"/>
    </row>
    <row r="1554" spans="1:38" ht="11.1" customHeight="1" x14ac:dyDescent="0.25">
      <c r="A1554" s="630" t="s">
        <v>4773</v>
      </c>
      <c r="B1554" s="630"/>
      <c r="C1554" s="630"/>
      <c r="M1554" s="630" t="s">
        <v>1988</v>
      </c>
      <c r="N1554" s="630"/>
      <c r="O1554" s="630"/>
      <c r="P1554" s="630"/>
      <c r="Q1554" s="627">
        <v>1610487.9</v>
      </c>
      <c r="R1554" s="627"/>
      <c r="T1554" s="631">
        <v>185256</v>
      </c>
      <c r="U1554" s="631"/>
      <c r="V1554" s="631"/>
      <c r="Y1554" s="631">
        <v>0</v>
      </c>
      <c r="Z1554" s="631"/>
      <c r="AA1554" s="631"/>
      <c r="AB1554" s="631"/>
      <c r="AC1554" s="631"/>
      <c r="AD1554" s="631"/>
      <c r="AF1554" s="627">
        <v>1795743.9</v>
      </c>
      <c r="AG1554" s="627"/>
      <c r="AH1554" s="627"/>
      <c r="AI1554" s="627"/>
      <c r="AJ1554" s="627"/>
      <c r="AK1554" s="627"/>
      <c r="AL1554" s="627"/>
    </row>
    <row r="1555" spans="1:38" ht="11.1" customHeight="1" x14ac:dyDescent="0.25">
      <c r="A1555" s="630" t="s">
        <v>4774</v>
      </c>
      <c r="B1555" s="630"/>
      <c r="C1555" s="630"/>
      <c r="M1555" s="630" t="s">
        <v>1990</v>
      </c>
      <c r="N1555" s="630"/>
      <c r="O1555" s="630"/>
      <c r="P1555" s="630"/>
      <c r="Q1555" s="627">
        <v>20644974.399999999</v>
      </c>
      <c r="R1555" s="627"/>
      <c r="T1555" s="631">
        <v>2171400.37</v>
      </c>
      <c r="U1555" s="631"/>
      <c r="V1555" s="631"/>
      <c r="Y1555" s="631">
        <v>0</v>
      </c>
      <c r="Z1555" s="631"/>
      <c r="AA1555" s="631"/>
      <c r="AB1555" s="631"/>
      <c r="AC1555" s="631"/>
      <c r="AD1555" s="631"/>
      <c r="AF1555" s="627">
        <v>22816374.77</v>
      </c>
      <c r="AG1555" s="627"/>
      <c r="AH1555" s="627"/>
      <c r="AI1555" s="627"/>
      <c r="AJ1555" s="627"/>
      <c r="AK1555" s="627"/>
      <c r="AL1555" s="627"/>
    </row>
    <row r="1556" spans="1:38" ht="11.1" customHeight="1" x14ac:dyDescent="0.25">
      <c r="A1556" s="630" t="s">
        <v>4775</v>
      </c>
      <c r="B1556" s="630"/>
      <c r="C1556" s="630"/>
      <c r="M1556" s="630" t="s">
        <v>2344</v>
      </c>
      <c r="N1556" s="630"/>
      <c r="O1556" s="630"/>
      <c r="P1556" s="630"/>
      <c r="Q1556" s="627">
        <v>39397.339999999997</v>
      </c>
      <c r="R1556" s="627"/>
      <c r="T1556" s="631">
        <v>0</v>
      </c>
      <c r="U1556" s="631"/>
      <c r="V1556" s="631"/>
      <c r="Y1556" s="631">
        <v>0</v>
      </c>
      <c r="Z1556" s="631"/>
      <c r="AA1556" s="631"/>
      <c r="AB1556" s="631"/>
      <c r="AC1556" s="631"/>
      <c r="AD1556" s="631"/>
      <c r="AF1556" s="627">
        <v>39397.339999999997</v>
      </c>
      <c r="AG1556" s="627"/>
      <c r="AH1556" s="627"/>
      <c r="AI1556" s="627"/>
      <c r="AJ1556" s="627"/>
      <c r="AK1556" s="627"/>
      <c r="AL1556" s="627"/>
    </row>
    <row r="1557" spans="1:38" ht="11.1" customHeight="1" x14ac:dyDescent="0.25">
      <c r="A1557" s="630" t="s">
        <v>4776</v>
      </c>
      <c r="B1557" s="630"/>
      <c r="C1557" s="630"/>
      <c r="M1557" s="630" t="s">
        <v>2996</v>
      </c>
      <c r="N1557" s="630"/>
      <c r="O1557" s="630"/>
      <c r="P1557" s="630"/>
      <c r="Q1557" s="627">
        <v>75566.87</v>
      </c>
      <c r="R1557" s="627"/>
      <c r="T1557" s="631">
        <v>0</v>
      </c>
      <c r="U1557" s="631"/>
      <c r="V1557" s="631"/>
      <c r="Y1557" s="631">
        <v>0</v>
      </c>
      <c r="Z1557" s="631"/>
      <c r="AA1557" s="631"/>
      <c r="AB1557" s="631"/>
      <c r="AC1557" s="631"/>
      <c r="AD1557" s="631"/>
      <c r="AF1557" s="627">
        <v>75566.87</v>
      </c>
      <c r="AG1557" s="627"/>
      <c r="AH1557" s="627"/>
      <c r="AI1557" s="627"/>
      <c r="AJ1557" s="627"/>
      <c r="AK1557" s="627"/>
      <c r="AL1557" s="627"/>
    </row>
    <row r="1558" spans="1:38" ht="11.1" customHeight="1" x14ac:dyDescent="0.25">
      <c r="A1558" s="630" t="s">
        <v>4777</v>
      </c>
      <c r="B1558" s="630"/>
      <c r="C1558" s="630"/>
      <c r="M1558" s="630" t="s">
        <v>2998</v>
      </c>
      <c r="N1558" s="630"/>
      <c r="O1558" s="630"/>
      <c r="P1558" s="630"/>
      <c r="Q1558" s="627">
        <v>-32.520000000000003</v>
      </c>
      <c r="R1558" s="627"/>
      <c r="T1558" s="631">
        <v>0</v>
      </c>
      <c r="U1558" s="631"/>
      <c r="V1558" s="631"/>
      <c r="Y1558" s="631">
        <v>0</v>
      </c>
      <c r="Z1558" s="631"/>
      <c r="AA1558" s="631"/>
      <c r="AB1558" s="631"/>
      <c r="AC1558" s="631"/>
      <c r="AD1558" s="631"/>
      <c r="AF1558" s="627">
        <v>-32.520000000000003</v>
      </c>
      <c r="AG1558" s="627"/>
      <c r="AH1558" s="627"/>
      <c r="AI1558" s="627"/>
      <c r="AJ1558" s="627"/>
      <c r="AK1558" s="627"/>
      <c r="AL1558" s="627"/>
    </row>
    <row r="1559" spans="1:38" ht="11.1" customHeight="1" x14ac:dyDescent="0.25">
      <c r="A1559" s="630" t="s">
        <v>4778</v>
      </c>
      <c r="B1559" s="630"/>
      <c r="C1559" s="630"/>
      <c r="K1559" s="630" t="s">
        <v>2921</v>
      </c>
      <c r="L1559" s="630"/>
      <c r="M1559" s="630"/>
      <c r="N1559" s="630"/>
      <c r="O1559" s="630"/>
      <c r="P1559" s="630"/>
      <c r="Q1559" s="627">
        <v>-2685479.61</v>
      </c>
      <c r="R1559" s="627"/>
      <c r="T1559" s="631">
        <v>0</v>
      </c>
      <c r="U1559" s="631"/>
      <c r="V1559" s="631"/>
      <c r="Y1559" s="631">
        <v>495800.3</v>
      </c>
      <c r="Z1559" s="631"/>
      <c r="AA1559" s="631"/>
      <c r="AB1559" s="631"/>
      <c r="AC1559" s="631"/>
      <c r="AD1559" s="631"/>
      <c r="AF1559" s="627">
        <v>-3181279.91</v>
      </c>
      <c r="AG1559" s="627"/>
      <c r="AH1559" s="627"/>
      <c r="AI1559" s="627"/>
      <c r="AJ1559" s="627"/>
      <c r="AK1559" s="627"/>
      <c r="AL1559" s="627"/>
    </row>
    <row r="1560" spans="1:38" ht="11.1" customHeight="1" x14ac:dyDescent="0.25">
      <c r="A1560" s="630" t="s">
        <v>4779</v>
      </c>
      <c r="B1560" s="630"/>
      <c r="C1560" s="630"/>
      <c r="M1560" s="630" t="s">
        <v>2284</v>
      </c>
      <c r="N1560" s="630"/>
      <c r="O1560" s="630"/>
      <c r="P1560" s="630"/>
      <c r="Q1560" s="627">
        <v>-2685479.61</v>
      </c>
      <c r="R1560" s="627"/>
      <c r="T1560" s="631">
        <v>0</v>
      </c>
      <c r="U1560" s="631"/>
      <c r="V1560" s="631"/>
      <c r="Y1560" s="631">
        <v>495800.3</v>
      </c>
      <c r="Z1560" s="631"/>
      <c r="AA1560" s="631"/>
      <c r="AB1560" s="631"/>
      <c r="AC1560" s="631"/>
      <c r="AD1560" s="631"/>
      <c r="AF1560" s="627">
        <v>-3181279.91</v>
      </c>
      <c r="AG1560" s="627"/>
      <c r="AH1560" s="627"/>
      <c r="AI1560" s="627"/>
      <c r="AJ1560" s="627"/>
      <c r="AK1560" s="627"/>
      <c r="AL1560" s="627"/>
    </row>
    <row r="1561" spans="1:38" ht="11.1" customHeight="1" x14ac:dyDescent="0.25">
      <c r="A1561" s="632" t="s">
        <v>4780</v>
      </c>
      <c r="B1561" s="632"/>
      <c r="C1561" s="632"/>
      <c r="J1561" s="632" t="s">
        <v>1559</v>
      </c>
      <c r="K1561" s="632"/>
      <c r="L1561" s="632"/>
      <c r="M1561" s="632"/>
      <c r="N1561" s="632"/>
      <c r="O1561" s="632"/>
      <c r="P1561" s="632"/>
      <c r="Q1561" s="633">
        <v>1980.44</v>
      </c>
      <c r="R1561" s="633"/>
      <c r="T1561" s="634">
        <v>0</v>
      </c>
      <c r="U1561" s="634"/>
      <c r="V1561" s="634"/>
      <c r="Y1561" s="634">
        <v>0</v>
      </c>
      <c r="Z1561" s="634"/>
      <c r="AA1561" s="634"/>
      <c r="AB1561" s="634"/>
      <c r="AC1561" s="634"/>
      <c r="AD1561" s="634"/>
      <c r="AF1561" s="633">
        <v>1980.44</v>
      </c>
      <c r="AG1561" s="633"/>
      <c r="AH1561" s="633"/>
      <c r="AI1561" s="633"/>
      <c r="AJ1561" s="633"/>
      <c r="AK1561" s="633"/>
      <c r="AL1561" s="633"/>
    </row>
    <row r="1562" spans="1:38" ht="11.1" customHeight="1" x14ac:dyDescent="0.25">
      <c r="A1562" s="630" t="s">
        <v>4781</v>
      </c>
      <c r="B1562" s="630"/>
      <c r="C1562" s="630"/>
      <c r="K1562" s="630" t="s">
        <v>1559</v>
      </c>
      <c r="L1562" s="630"/>
      <c r="M1562" s="630"/>
      <c r="N1562" s="630"/>
      <c r="O1562" s="630"/>
      <c r="P1562" s="630"/>
      <c r="Q1562" s="627">
        <v>2159.4</v>
      </c>
      <c r="R1562" s="627"/>
      <c r="T1562" s="631">
        <v>0</v>
      </c>
      <c r="U1562" s="631"/>
      <c r="V1562" s="631"/>
      <c r="Y1562" s="631">
        <v>0</v>
      </c>
      <c r="Z1562" s="631"/>
      <c r="AA1562" s="631"/>
      <c r="AB1562" s="631"/>
      <c r="AC1562" s="631"/>
      <c r="AD1562" s="631"/>
      <c r="AF1562" s="627">
        <v>2159.4</v>
      </c>
      <c r="AG1562" s="627"/>
      <c r="AH1562" s="627"/>
      <c r="AI1562" s="627"/>
      <c r="AJ1562" s="627"/>
      <c r="AK1562" s="627"/>
      <c r="AL1562" s="627"/>
    </row>
    <row r="1563" spans="1:38" ht="11.1" customHeight="1" x14ac:dyDescent="0.25">
      <c r="A1563" s="630" t="s">
        <v>4782</v>
      </c>
      <c r="B1563" s="630"/>
      <c r="C1563" s="630"/>
      <c r="M1563" s="630" t="s">
        <v>1991</v>
      </c>
      <c r="N1563" s="630"/>
      <c r="O1563" s="630"/>
      <c r="P1563" s="630"/>
      <c r="Q1563" s="627">
        <v>2159.4</v>
      </c>
      <c r="R1563" s="627"/>
      <c r="T1563" s="631">
        <v>0</v>
      </c>
      <c r="U1563" s="631"/>
      <c r="V1563" s="631"/>
      <c r="Y1563" s="631">
        <v>0</v>
      </c>
      <c r="Z1563" s="631"/>
      <c r="AA1563" s="631"/>
      <c r="AB1563" s="631"/>
      <c r="AC1563" s="631"/>
      <c r="AD1563" s="631"/>
      <c r="AF1563" s="627">
        <v>2159.4</v>
      </c>
      <c r="AG1563" s="627"/>
      <c r="AH1563" s="627"/>
      <c r="AI1563" s="627"/>
      <c r="AJ1563" s="627"/>
      <c r="AK1563" s="627"/>
      <c r="AL1563" s="627"/>
    </row>
    <row r="1564" spans="1:38" ht="11.1" customHeight="1" x14ac:dyDescent="0.25">
      <c r="A1564" s="630" t="s">
        <v>4783</v>
      </c>
      <c r="B1564" s="630"/>
      <c r="C1564" s="630"/>
      <c r="K1564" s="630" t="s">
        <v>2921</v>
      </c>
      <c r="L1564" s="630"/>
      <c r="M1564" s="630"/>
      <c r="N1564" s="630"/>
      <c r="O1564" s="630"/>
      <c r="P1564" s="630"/>
      <c r="Q1564" s="627">
        <v>-178.96</v>
      </c>
      <c r="R1564" s="627"/>
      <c r="T1564" s="631">
        <v>0</v>
      </c>
      <c r="U1564" s="631"/>
      <c r="V1564" s="631"/>
      <c r="Y1564" s="631">
        <v>0</v>
      </c>
      <c r="Z1564" s="631"/>
      <c r="AA1564" s="631"/>
      <c r="AB1564" s="631"/>
      <c r="AC1564" s="631"/>
      <c r="AD1564" s="631"/>
      <c r="AF1564" s="627">
        <v>-178.96</v>
      </c>
      <c r="AG1564" s="627"/>
      <c r="AH1564" s="627"/>
      <c r="AI1564" s="627"/>
      <c r="AJ1564" s="627"/>
      <c r="AK1564" s="627"/>
      <c r="AL1564" s="627"/>
    </row>
    <row r="1565" spans="1:38" ht="11.1" customHeight="1" x14ac:dyDescent="0.25">
      <c r="A1565" s="630" t="s">
        <v>4784</v>
      </c>
      <c r="B1565" s="630"/>
      <c r="C1565" s="630"/>
      <c r="M1565" s="630" t="s">
        <v>2284</v>
      </c>
      <c r="N1565" s="630"/>
      <c r="O1565" s="630"/>
      <c r="P1565" s="630"/>
      <c r="Q1565" s="627">
        <v>-178.96</v>
      </c>
      <c r="R1565" s="627"/>
      <c r="T1565" s="631">
        <v>0</v>
      </c>
      <c r="U1565" s="631"/>
      <c r="V1565" s="631"/>
      <c r="Y1565" s="631">
        <v>0</v>
      </c>
      <c r="Z1565" s="631"/>
      <c r="AA1565" s="631"/>
      <c r="AB1565" s="631"/>
      <c r="AC1565" s="631"/>
      <c r="AD1565" s="631"/>
      <c r="AF1565" s="627">
        <v>-178.96</v>
      </c>
      <c r="AG1565" s="627"/>
      <c r="AH1565" s="627"/>
      <c r="AI1565" s="627"/>
      <c r="AJ1565" s="627"/>
      <c r="AK1565" s="627"/>
      <c r="AL1565" s="627"/>
    </row>
    <row r="1566" spans="1:38" ht="11.1" customHeight="1" x14ac:dyDescent="0.25">
      <c r="A1566" s="632" t="s">
        <v>4785</v>
      </c>
      <c r="B1566" s="632"/>
      <c r="C1566" s="632"/>
      <c r="H1566" s="632" t="s">
        <v>1993</v>
      </c>
      <c r="I1566" s="632"/>
      <c r="J1566" s="632"/>
      <c r="K1566" s="632"/>
      <c r="L1566" s="632"/>
      <c r="M1566" s="632"/>
      <c r="N1566" s="632"/>
      <c r="O1566" s="632"/>
      <c r="P1566" s="632"/>
      <c r="Q1566" s="633">
        <v>-3989613.02</v>
      </c>
      <c r="R1566" s="633"/>
      <c r="T1566" s="634">
        <v>31069.49</v>
      </c>
      <c r="U1566" s="634"/>
      <c r="V1566" s="634"/>
      <c r="Y1566" s="634">
        <v>300474.28999999998</v>
      </c>
      <c r="Z1566" s="634"/>
      <c r="AA1566" s="634"/>
      <c r="AB1566" s="634"/>
      <c r="AC1566" s="634"/>
      <c r="AD1566" s="634"/>
      <c r="AF1566" s="633">
        <v>-4259017.82</v>
      </c>
      <c r="AG1566" s="633"/>
      <c r="AH1566" s="633"/>
      <c r="AI1566" s="633"/>
      <c r="AJ1566" s="633"/>
      <c r="AK1566" s="633"/>
      <c r="AL1566" s="633"/>
    </row>
    <row r="1567" spans="1:38" ht="11.1" customHeight="1" x14ac:dyDescent="0.25">
      <c r="A1567" s="632" t="s">
        <v>4786</v>
      </c>
      <c r="B1567" s="632"/>
      <c r="C1567" s="632"/>
      <c r="I1567" s="632" t="s">
        <v>1995</v>
      </c>
      <c r="J1567" s="632"/>
      <c r="K1567" s="632"/>
      <c r="L1567" s="632"/>
      <c r="M1567" s="632"/>
      <c r="N1567" s="632"/>
      <c r="O1567" s="632"/>
      <c r="P1567" s="632"/>
      <c r="Q1567" s="633">
        <v>-3989613.02</v>
      </c>
      <c r="R1567" s="633"/>
      <c r="T1567" s="634">
        <v>31069.49</v>
      </c>
      <c r="U1567" s="634"/>
      <c r="V1567" s="634"/>
      <c r="Y1567" s="634">
        <v>300474.28999999998</v>
      </c>
      <c r="Z1567" s="634"/>
      <c r="AA1567" s="634"/>
      <c r="AB1567" s="634"/>
      <c r="AC1567" s="634"/>
      <c r="AD1567" s="634"/>
      <c r="AF1567" s="633">
        <v>-4259017.82</v>
      </c>
      <c r="AG1567" s="633"/>
      <c r="AH1567" s="633"/>
      <c r="AI1567" s="633"/>
      <c r="AJ1567" s="633"/>
      <c r="AK1567" s="633"/>
      <c r="AL1567" s="633"/>
    </row>
    <row r="1568" spans="1:38" ht="11.1" customHeight="1" x14ac:dyDescent="0.25">
      <c r="A1568" s="632" t="s">
        <v>4787</v>
      </c>
      <c r="B1568" s="632"/>
      <c r="C1568" s="632"/>
      <c r="J1568" s="632" t="s">
        <v>2346</v>
      </c>
      <c r="K1568" s="632"/>
      <c r="L1568" s="632"/>
      <c r="M1568" s="632"/>
      <c r="N1568" s="632"/>
      <c r="O1568" s="632"/>
      <c r="P1568" s="632"/>
      <c r="Q1568" s="633">
        <v>-4135045.73</v>
      </c>
      <c r="R1568" s="633"/>
      <c r="T1568" s="634">
        <v>0</v>
      </c>
      <c r="U1568" s="634"/>
      <c r="V1568" s="634"/>
      <c r="Y1568" s="634">
        <v>220786.66</v>
      </c>
      <c r="Z1568" s="634"/>
      <c r="AA1568" s="634"/>
      <c r="AB1568" s="634"/>
      <c r="AC1568" s="634"/>
      <c r="AD1568" s="634"/>
      <c r="AF1568" s="633">
        <v>-4355832.3899999997</v>
      </c>
      <c r="AG1568" s="633"/>
      <c r="AH1568" s="633"/>
      <c r="AI1568" s="633"/>
      <c r="AJ1568" s="633"/>
      <c r="AK1568" s="633"/>
      <c r="AL1568" s="633"/>
    </row>
    <row r="1569" spans="1:38" ht="11.1" customHeight="1" x14ac:dyDescent="0.25">
      <c r="A1569" s="630" t="s">
        <v>4788</v>
      </c>
      <c r="B1569" s="630"/>
      <c r="C1569" s="630"/>
      <c r="K1569" s="630" t="s">
        <v>2348</v>
      </c>
      <c r="L1569" s="630"/>
      <c r="M1569" s="630"/>
      <c r="N1569" s="630"/>
      <c r="O1569" s="630"/>
      <c r="P1569" s="630"/>
      <c r="Q1569" s="627">
        <v>-4135045.73</v>
      </c>
      <c r="R1569" s="627"/>
      <c r="T1569" s="631">
        <v>0</v>
      </c>
      <c r="U1569" s="631"/>
      <c r="V1569" s="631"/>
      <c r="Y1569" s="631">
        <v>220786.66</v>
      </c>
      <c r="Z1569" s="631"/>
      <c r="AA1569" s="631"/>
      <c r="AB1569" s="631"/>
      <c r="AC1569" s="631"/>
      <c r="AD1569" s="631"/>
      <c r="AF1569" s="627">
        <v>-4355832.3899999997</v>
      </c>
      <c r="AG1569" s="627"/>
      <c r="AH1569" s="627"/>
      <c r="AI1569" s="627"/>
      <c r="AJ1569" s="627"/>
      <c r="AK1569" s="627"/>
      <c r="AL1569" s="627"/>
    </row>
    <row r="1570" spans="1:38" ht="11.1" customHeight="1" x14ac:dyDescent="0.25">
      <c r="A1570" s="630" t="s">
        <v>4789</v>
      </c>
      <c r="B1570" s="630"/>
      <c r="C1570" s="630"/>
      <c r="M1570" s="630" t="s">
        <v>2350</v>
      </c>
      <c r="N1570" s="630"/>
      <c r="O1570" s="630"/>
      <c r="P1570" s="630"/>
      <c r="Q1570" s="627">
        <v>-4135045.73</v>
      </c>
      <c r="R1570" s="627"/>
      <c r="T1570" s="631">
        <v>0</v>
      </c>
      <c r="U1570" s="631"/>
      <c r="V1570" s="631"/>
      <c r="Y1570" s="631">
        <v>220786.66</v>
      </c>
      <c r="Z1570" s="631"/>
      <c r="AA1570" s="631"/>
      <c r="AB1570" s="631"/>
      <c r="AC1570" s="631"/>
      <c r="AD1570" s="631"/>
      <c r="AF1570" s="627">
        <v>-4355832.3899999997</v>
      </c>
      <c r="AG1570" s="627"/>
      <c r="AH1570" s="627"/>
      <c r="AI1570" s="627"/>
      <c r="AJ1570" s="627"/>
      <c r="AK1570" s="627"/>
      <c r="AL1570" s="627"/>
    </row>
    <row r="1571" spans="1:38" ht="11.1" customHeight="1" x14ac:dyDescent="0.25">
      <c r="A1571" s="632" t="s">
        <v>4790</v>
      </c>
      <c r="B1571" s="632"/>
      <c r="C1571" s="632"/>
      <c r="J1571" s="632" t="s">
        <v>1997</v>
      </c>
      <c r="K1571" s="632"/>
      <c r="L1571" s="632"/>
      <c r="M1571" s="632"/>
      <c r="N1571" s="632"/>
      <c r="O1571" s="632"/>
      <c r="P1571" s="632"/>
      <c r="Q1571" s="633">
        <v>-267858.93</v>
      </c>
      <c r="R1571" s="633"/>
      <c r="T1571" s="634">
        <v>2800</v>
      </c>
      <c r="U1571" s="634"/>
      <c r="V1571" s="634"/>
      <c r="Y1571" s="634">
        <v>79687.63</v>
      </c>
      <c r="Z1571" s="634"/>
      <c r="AA1571" s="634"/>
      <c r="AB1571" s="634"/>
      <c r="AC1571" s="634"/>
      <c r="AD1571" s="634"/>
      <c r="AF1571" s="633">
        <v>-344746.56</v>
      </c>
      <c r="AG1571" s="633"/>
      <c r="AH1571" s="633"/>
      <c r="AI1571" s="633"/>
      <c r="AJ1571" s="633"/>
      <c r="AK1571" s="633"/>
      <c r="AL1571" s="633"/>
    </row>
    <row r="1572" spans="1:38" ht="11.1" customHeight="1" x14ac:dyDescent="0.25">
      <c r="A1572" s="630" t="s">
        <v>4791</v>
      </c>
      <c r="B1572" s="630"/>
      <c r="C1572" s="630"/>
      <c r="K1572" s="630" t="s">
        <v>1695</v>
      </c>
      <c r="L1572" s="630"/>
      <c r="M1572" s="630"/>
      <c r="N1572" s="630"/>
      <c r="O1572" s="630"/>
      <c r="P1572" s="630"/>
      <c r="Q1572" s="627">
        <v>-80949.38</v>
      </c>
      <c r="R1572" s="627"/>
      <c r="T1572" s="631">
        <v>0</v>
      </c>
      <c r="U1572" s="631"/>
      <c r="V1572" s="631"/>
      <c r="Y1572" s="631">
        <v>35.380000000000003</v>
      </c>
      <c r="Z1572" s="631"/>
      <c r="AA1572" s="631"/>
      <c r="AB1572" s="631"/>
      <c r="AC1572" s="631"/>
      <c r="AD1572" s="631"/>
      <c r="AF1572" s="627">
        <v>-80984.759999999995</v>
      </c>
      <c r="AG1572" s="627"/>
      <c r="AH1572" s="627"/>
      <c r="AI1572" s="627"/>
      <c r="AJ1572" s="627"/>
      <c r="AK1572" s="627"/>
      <c r="AL1572" s="627"/>
    </row>
    <row r="1573" spans="1:38" ht="11.1" customHeight="1" x14ac:dyDescent="0.25">
      <c r="A1573" s="630" t="s">
        <v>4792</v>
      </c>
      <c r="B1573" s="630"/>
      <c r="C1573" s="630"/>
      <c r="M1573" s="630" t="s">
        <v>3004</v>
      </c>
      <c r="N1573" s="630"/>
      <c r="O1573" s="630"/>
      <c r="P1573" s="630"/>
      <c r="Q1573" s="627">
        <v>-80563.56</v>
      </c>
      <c r="R1573" s="627"/>
      <c r="T1573" s="631">
        <v>0</v>
      </c>
      <c r="U1573" s="631"/>
      <c r="V1573" s="631"/>
      <c r="Y1573" s="631">
        <v>0</v>
      </c>
      <c r="Z1573" s="631"/>
      <c r="AA1573" s="631"/>
      <c r="AB1573" s="631"/>
      <c r="AC1573" s="631"/>
      <c r="AD1573" s="631"/>
      <c r="AF1573" s="627">
        <v>-80563.56</v>
      </c>
      <c r="AG1573" s="627"/>
      <c r="AH1573" s="627"/>
      <c r="AI1573" s="627"/>
      <c r="AJ1573" s="627"/>
      <c r="AK1573" s="627"/>
      <c r="AL1573" s="627"/>
    </row>
    <row r="1574" spans="1:38" ht="11.1" customHeight="1" x14ac:dyDescent="0.25">
      <c r="A1574" s="630" t="s">
        <v>4793</v>
      </c>
      <c r="B1574" s="630"/>
      <c r="C1574" s="630"/>
      <c r="M1574" s="630" t="s">
        <v>511</v>
      </c>
      <c r="N1574" s="630"/>
      <c r="O1574" s="630"/>
      <c r="P1574" s="630"/>
      <c r="Q1574" s="627">
        <v>-385.82</v>
      </c>
      <c r="R1574" s="627"/>
      <c r="T1574" s="631">
        <v>0</v>
      </c>
      <c r="U1574" s="631"/>
      <c r="V1574" s="631"/>
      <c r="Y1574" s="631">
        <v>35.380000000000003</v>
      </c>
      <c r="Z1574" s="631"/>
      <c r="AA1574" s="631"/>
      <c r="AB1574" s="631"/>
      <c r="AC1574" s="631"/>
      <c r="AD1574" s="631"/>
      <c r="AF1574" s="627">
        <v>-421.2</v>
      </c>
      <c r="AG1574" s="627"/>
      <c r="AH1574" s="627"/>
      <c r="AI1574" s="627"/>
      <c r="AJ1574" s="627"/>
      <c r="AK1574" s="627"/>
      <c r="AL1574" s="627"/>
    </row>
    <row r="1575" spans="1:38" ht="11.1" customHeight="1" x14ac:dyDescent="0.25">
      <c r="A1575" s="630" t="s">
        <v>4794</v>
      </c>
      <c r="B1575" s="630"/>
      <c r="C1575" s="630"/>
      <c r="K1575" s="630" t="s">
        <v>2352</v>
      </c>
      <c r="L1575" s="630"/>
      <c r="M1575" s="630"/>
      <c r="N1575" s="630"/>
      <c r="O1575" s="630"/>
      <c r="P1575" s="630"/>
      <c r="Q1575" s="627">
        <v>-51372.160000000003</v>
      </c>
      <c r="R1575" s="627"/>
      <c r="T1575" s="631">
        <v>0</v>
      </c>
      <c r="U1575" s="631"/>
      <c r="V1575" s="631"/>
      <c r="Y1575" s="631">
        <v>0</v>
      </c>
      <c r="Z1575" s="631"/>
      <c r="AA1575" s="631"/>
      <c r="AB1575" s="631"/>
      <c r="AC1575" s="631"/>
      <c r="AD1575" s="631"/>
      <c r="AF1575" s="627">
        <v>-51372.160000000003</v>
      </c>
      <c r="AG1575" s="627"/>
      <c r="AH1575" s="627"/>
      <c r="AI1575" s="627"/>
      <c r="AJ1575" s="627"/>
      <c r="AK1575" s="627"/>
      <c r="AL1575" s="627"/>
    </row>
    <row r="1576" spans="1:38" ht="11.1" customHeight="1" x14ac:dyDescent="0.25">
      <c r="A1576" s="630" t="s">
        <v>4795</v>
      </c>
      <c r="B1576" s="630"/>
      <c r="C1576" s="630"/>
      <c r="M1576" s="630" t="s">
        <v>2354</v>
      </c>
      <c r="N1576" s="630"/>
      <c r="O1576" s="630"/>
      <c r="P1576" s="630"/>
      <c r="Q1576" s="627">
        <v>-51372.160000000003</v>
      </c>
      <c r="R1576" s="627"/>
      <c r="T1576" s="631">
        <v>0</v>
      </c>
      <c r="U1576" s="631"/>
      <c r="V1576" s="631"/>
      <c r="Y1576" s="631">
        <v>0</v>
      </c>
      <c r="Z1576" s="631"/>
      <c r="AA1576" s="631"/>
      <c r="AB1576" s="631"/>
      <c r="AC1576" s="631"/>
      <c r="AD1576" s="631"/>
      <c r="AF1576" s="627">
        <v>-51372.160000000003</v>
      </c>
      <c r="AG1576" s="627"/>
      <c r="AH1576" s="627"/>
      <c r="AI1576" s="627"/>
      <c r="AJ1576" s="627"/>
      <c r="AK1576" s="627"/>
      <c r="AL1576" s="627"/>
    </row>
    <row r="1577" spans="1:38" ht="11.1" customHeight="1" x14ac:dyDescent="0.25">
      <c r="A1577" s="630" t="s">
        <v>4796</v>
      </c>
      <c r="B1577" s="630"/>
      <c r="C1577" s="630"/>
      <c r="K1577" s="630" t="s">
        <v>3006</v>
      </c>
      <c r="L1577" s="630"/>
      <c r="M1577" s="630"/>
      <c r="N1577" s="630"/>
      <c r="O1577" s="630"/>
      <c r="P1577" s="630"/>
      <c r="Q1577" s="627">
        <v>2459.4</v>
      </c>
      <c r="R1577" s="627"/>
      <c r="T1577" s="631">
        <v>0</v>
      </c>
      <c r="U1577" s="631"/>
      <c r="V1577" s="631"/>
      <c r="Y1577" s="631">
        <v>2800</v>
      </c>
      <c r="Z1577" s="631"/>
      <c r="AA1577" s="631"/>
      <c r="AB1577" s="631"/>
      <c r="AC1577" s="631"/>
      <c r="AD1577" s="631"/>
      <c r="AF1577" s="627">
        <v>-340.6</v>
      </c>
      <c r="AG1577" s="627"/>
      <c r="AH1577" s="627"/>
      <c r="AI1577" s="627"/>
      <c r="AJ1577" s="627"/>
      <c r="AK1577" s="627"/>
      <c r="AL1577" s="627"/>
    </row>
    <row r="1578" spans="1:38" ht="11.1" customHeight="1" x14ac:dyDescent="0.25">
      <c r="A1578" s="630" t="s">
        <v>4797</v>
      </c>
      <c r="B1578" s="630"/>
      <c r="C1578" s="630"/>
      <c r="L1578" s="630" t="s">
        <v>302</v>
      </c>
      <c r="M1578" s="630"/>
      <c r="N1578" s="630"/>
      <c r="O1578" s="630"/>
      <c r="P1578" s="630"/>
      <c r="Q1578" s="627">
        <v>2459.4</v>
      </c>
      <c r="R1578" s="627"/>
      <c r="T1578" s="631">
        <v>0</v>
      </c>
      <c r="U1578" s="631"/>
      <c r="V1578" s="631"/>
      <c r="Y1578" s="631">
        <v>2800</v>
      </c>
      <c r="Z1578" s="631"/>
      <c r="AA1578" s="631"/>
      <c r="AB1578" s="631"/>
      <c r="AC1578" s="631"/>
      <c r="AD1578" s="631"/>
      <c r="AF1578" s="627">
        <v>-340.6</v>
      </c>
      <c r="AG1578" s="627"/>
      <c r="AH1578" s="627"/>
      <c r="AI1578" s="627"/>
      <c r="AJ1578" s="627"/>
      <c r="AK1578" s="627"/>
      <c r="AL1578" s="627"/>
    </row>
    <row r="1579" spans="1:38" ht="11.1" customHeight="1" x14ac:dyDescent="0.25">
      <c r="A1579" s="630" t="s">
        <v>4798</v>
      </c>
      <c r="B1579" s="630"/>
      <c r="C1579" s="630"/>
      <c r="M1579" s="630" t="s">
        <v>3009</v>
      </c>
      <c r="N1579" s="630"/>
      <c r="O1579" s="630"/>
      <c r="P1579" s="630"/>
      <c r="Q1579" s="627">
        <v>2459.4</v>
      </c>
      <c r="R1579" s="627"/>
      <c r="T1579" s="631">
        <v>0</v>
      </c>
      <c r="U1579" s="631"/>
      <c r="V1579" s="631"/>
      <c r="Y1579" s="631">
        <v>2800</v>
      </c>
      <c r="Z1579" s="631"/>
      <c r="AA1579" s="631"/>
      <c r="AB1579" s="631"/>
      <c r="AC1579" s="631"/>
      <c r="AD1579" s="631"/>
      <c r="AF1579" s="627">
        <v>-340.6</v>
      </c>
      <c r="AG1579" s="627"/>
      <c r="AH1579" s="627"/>
      <c r="AI1579" s="627"/>
      <c r="AJ1579" s="627"/>
      <c r="AK1579" s="627"/>
      <c r="AL1579" s="627"/>
    </row>
    <row r="1580" spans="1:38" ht="11.1" customHeight="1" x14ac:dyDescent="0.25">
      <c r="A1580" s="630" t="s">
        <v>4799</v>
      </c>
      <c r="B1580" s="630"/>
      <c r="C1580" s="630"/>
      <c r="K1580" s="630" t="s">
        <v>331</v>
      </c>
      <c r="L1580" s="630"/>
      <c r="M1580" s="630"/>
      <c r="N1580" s="630"/>
      <c r="O1580" s="630"/>
      <c r="P1580" s="630"/>
      <c r="Q1580" s="627">
        <v>-137996.79</v>
      </c>
      <c r="R1580" s="627"/>
      <c r="T1580" s="631">
        <v>2800</v>
      </c>
      <c r="U1580" s="631"/>
      <c r="V1580" s="631"/>
      <c r="Y1580" s="631">
        <v>76852.25</v>
      </c>
      <c r="Z1580" s="631"/>
      <c r="AA1580" s="631"/>
      <c r="AB1580" s="631"/>
      <c r="AC1580" s="631"/>
      <c r="AD1580" s="631"/>
      <c r="AF1580" s="627">
        <v>-212049.04</v>
      </c>
      <c r="AG1580" s="627"/>
      <c r="AH1580" s="627"/>
      <c r="AI1580" s="627"/>
      <c r="AJ1580" s="627"/>
      <c r="AK1580" s="627"/>
      <c r="AL1580" s="627"/>
    </row>
    <row r="1581" spans="1:38" ht="11.1" customHeight="1" x14ac:dyDescent="0.25">
      <c r="A1581" s="630" t="s">
        <v>4800</v>
      </c>
      <c r="B1581" s="630"/>
      <c r="C1581" s="630"/>
      <c r="L1581" s="630" t="s">
        <v>2002</v>
      </c>
      <c r="M1581" s="630"/>
      <c r="N1581" s="630"/>
      <c r="O1581" s="630"/>
      <c r="P1581" s="630"/>
      <c r="Q1581" s="627">
        <v>-119617.99</v>
      </c>
      <c r="R1581" s="627"/>
      <c r="T1581" s="631">
        <v>0</v>
      </c>
      <c r="U1581" s="631"/>
      <c r="V1581" s="631"/>
      <c r="Y1581" s="631">
        <v>23802.21</v>
      </c>
      <c r="Z1581" s="631"/>
      <c r="AA1581" s="631"/>
      <c r="AB1581" s="631"/>
      <c r="AC1581" s="631"/>
      <c r="AD1581" s="631"/>
      <c r="AF1581" s="627">
        <v>-143420.20000000001</v>
      </c>
      <c r="AG1581" s="627"/>
      <c r="AH1581" s="627"/>
      <c r="AI1581" s="627"/>
      <c r="AJ1581" s="627"/>
      <c r="AK1581" s="627"/>
      <c r="AL1581" s="627"/>
    </row>
    <row r="1582" spans="1:38" ht="11.1" customHeight="1" x14ac:dyDescent="0.25">
      <c r="A1582" s="630" t="s">
        <v>4801</v>
      </c>
      <c r="B1582" s="630"/>
      <c r="C1582" s="630"/>
      <c r="M1582" s="630" t="s">
        <v>2004</v>
      </c>
      <c r="N1582" s="630"/>
      <c r="O1582" s="630"/>
      <c r="P1582" s="630"/>
      <c r="Q1582" s="627">
        <v>-1838.06</v>
      </c>
      <c r="R1582" s="627"/>
      <c r="T1582" s="631">
        <v>0</v>
      </c>
      <c r="U1582" s="631"/>
      <c r="V1582" s="631"/>
      <c r="Y1582" s="631">
        <v>9064</v>
      </c>
      <c r="Z1582" s="631"/>
      <c r="AA1582" s="631"/>
      <c r="AB1582" s="631"/>
      <c r="AC1582" s="631"/>
      <c r="AD1582" s="631"/>
      <c r="AF1582" s="627">
        <v>-10902.06</v>
      </c>
      <c r="AG1582" s="627"/>
      <c r="AH1582" s="627"/>
      <c r="AI1582" s="627"/>
      <c r="AJ1582" s="627"/>
      <c r="AK1582" s="627"/>
      <c r="AL1582" s="627"/>
    </row>
    <row r="1583" spans="1:38" ht="11.1" customHeight="1" x14ac:dyDescent="0.25">
      <c r="A1583" s="630" t="s">
        <v>4802</v>
      </c>
      <c r="B1583" s="630"/>
      <c r="C1583" s="630"/>
      <c r="M1583" s="630" t="s">
        <v>2006</v>
      </c>
      <c r="N1583" s="630"/>
      <c r="O1583" s="630"/>
      <c r="P1583" s="630"/>
      <c r="Q1583" s="627">
        <v>-0.55000000000000004</v>
      </c>
      <c r="R1583" s="627"/>
      <c r="T1583" s="631">
        <v>0</v>
      </c>
      <c r="U1583" s="631"/>
      <c r="V1583" s="631"/>
      <c r="Y1583" s="631">
        <v>27.22</v>
      </c>
      <c r="Z1583" s="631"/>
      <c r="AA1583" s="631"/>
      <c r="AB1583" s="631"/>
      <c r="AC1583" s="631"/>
      <c r="AD1583" s="631"/>
      <c r="AF1583" s="627">
        <v>-27.77</v>
      </c>
      <c r="AG1583" s="627"/>
      <c r="AH1583" s="627"/>
      <c r="AI1583" s="627"/>
      <c r="AJ1583" s="627"/>
      <c r="AK1583" s="627"/>
      <c r="AL1583" s="627"/>
    </row>
    <row r="1584" spans="1:38" ht="11.1" customHeight="1" x14ac:dyDescent="0.25">
      <c r="A1584" s="630" t="s">
        <v>4803</v>
      </c>
      <c r="B1584" s="630"/>
      <c r="C1584" s="630"/>
      <c r="M1584" s="630" t="s">
        <v>2008</v>
      </c>
      <c r="N1584" s="630"/>
      <c r="O1584" s="630"/>
      <c r="P1584" s="630"/>
      <c r="Q1584" s="627">
        <v>-115539.5</v>
      </c>
      <c r="R1584" s="627"/>
      <c r="T1584" s="631">
        <v>0</v>
      </c>
      <c r="U1584" s="631"/>
      <c r="V1584" s="631"/>
      <c r="Y1584" s="631">
        <v>14692.24</v>
      </c>
      <c r="Z1584" s="631"/>
      <c r="AA1584" s="631"/>
      <c r="AB1584" s="631"/>
      <c r="AC1584" s="631"/>
      <c r="AD1584" s="631"/>
      <c r="AF1584" s="627">
        <v>-130231.74</v>
      </c>
      <c r="AG1584" s="627"/>
      <c r="AH1584" s="627"/>
      <c r="AI1584" s="627"/>
      <c r="AJ1584" s="627"/>
      <c r="AK1584" s="627"/>
      <c r="AL1584" s="627"/>
    </row>
    <row r="1585" spans="1:38" ht="11.1" customHeight="1" x14ac:dyDescent="0.25">
      <c r="A1585" s="630" t="s">
        <v>4804</v>
      </c>
      <c r="B1585" s="630"/>
      <c r="C1585" s="630"/>
      <c r="M1585" s="630" t="s">
        <v>1991</v>
      </c>
      <c r="N1585" s="630"/>
      <c r="O1585" s="630"/>
      <c r="P1585" s="630"/>
      <c r="Q1585" s="627">
        <v>-2239.88</v>
      </c>
      <c r="R1585" s="627"/>
      <c r="T1585" s="631">
        <v>0</v>
      </c>
      <c r="U1585" s="631"/>
      <c r="V1585" s="631"/>
      <c r="Y1585" s="631">
        <v>18.75</v>
      </c>
      <c r="Z1585" s="631"/>
      <c r="AA1585" s="631"/>
      <c r="AB1585" s="631"/>
      <c r="AC1585" s="631"/>
      <c r="AD1585" s="631"/>
      <c r="AF1585" s="627">
        <v>-2258.63</v>
      </c>
      <c r="AG1585" s="627"/>
      <c r="AH1585" s="627"/>
      <c r="AI1585" s="627"/>
      <c r="AJ1585" s="627"/>
      <c r="AK1585" s="627"/>
      <c r="AL1585" s="627"/>
    </row>
    <row r="1586" spans="1:38" ht="11.1" customHeight="1" x14ac:dyDescent="0.25">
      <c r="A1586" s="630" t="s">
        <v>4805</v>
      </c>
      <c r="B1586" s="630"/>
      <c r="C1586" s="630"/>
      <c r="L1586" s="630" t="s">
        <v>3011</v>
      </c>
      <c r="M1586" s="630"/>
      <c r="N1586" s="630"/>
      <c r="O1586" s="630"/>
      <c r="P1586" s="630"/>
      <c r="Q1586" s="627">
        <v>-18378.8</v>
      </c>
      <c r="R1586" s="627"/>
      <c r="T1586" s="631">
        <v>2800</v>
      </c>
      <c r="U1586" s="631"/>
      <c r="V1586" s="631"/>
      <c r="Y1586" s="631">
        <v>53050.04</v>
      </c>
      <c r="Z1586" s="631"/>
      <c r="AA1586" s="631"/>
      <c r="AB1586" s="631"/>
      <c r="AC1586" s="631"/>
      <c r="AD1586" s="631"/>
      <c r="AF1586" s="627">
        <v>-68628.84</v>
      </c>
      <c r="AG1586" s="627"/>
      <c r="AH1586" s="627"/>
      <c r="AI1586" s="627"/>
      <c r="AJ1586" s="627"/>
      <c r="AK1586" s="627"/>
      <c r="AL1586" s="627"/>
    </row>
    <row r="1587" spans="1:38" ht="11.1" customHeight="1" x14ac:dyDescent="0.25">
      <c r="A1587" s="630" t="s">
        <v>4806</v>
      </c>
      <c r="B1587" s="630"/>
      <c r="C1587" s="630"/>
      <c r="M1587" s="630" t="s">
        <v>3013</v>
      </c>
      <c r="N1587" s="630"/>
      <c r="O1587" s="630"/>
      <c r="P1587" s="630"/>
      <c r="Q1587" s="627">
        <v>-15298.8</v>
      </c>
      <c r="R1587" s="627"/>
      <c r="T1587" s="631">
        <v>0</v>
      </c>
      <c r="U1587" s="631"/>
      <c r="V1587" s="631"/>
      <c r="Y1587" s="631">
        <v>53050.04</v>
      </c>
      <c r="Z1587" s="631"/>
      <c r="AA1587" s="631"/>
      <c r="AB1587" s="631"/>
      <c r="AC1587" s="631"/>
      <c r="AD1587" s="631"/>
      <c r="AF1587" s="627">
        <v>-68348.84</v>
      </c>
      <c r="AG1587" s="627"/>
      <c r="AH1587" s="627"/>
      <c r="AI1587" s="627"/>
      <c r="AJ1587" s="627"/>
      <c r="AK1587" s="627"/>
      <c r="AL1587" s="627"/>
    </row>
    <row r="1588" spans="1:38" ht="11.1" customHeight="1" x14ac:dyDescent="0.25">
      <c r="A1588" s="630" t="s">
        <v>4807</v>
      </c>
      <c r="B1588" s="630"/>
      <c r="C1588" s="630"/>
      <c r="M1588" s="630" t="s">
        <v>3015</v>
      </c>
      <c r="N1588" s="630"/>
      <c r="O1588" s="630"/>
      <c r="P1588" s="630"/>
      <c r="Q1588" s="627">
        <v>-3080</v>
      </c>
      <c r="R1588" s="627"/>
      <c r="T1588" s="631">
        <v>2800</v>
      </c>
      <c r="U1588" s="631"/>
      <c r="V1588" s="631"/>
      <c r="Y1588" s="631">
        <v>0</v>
      </c>
      <c r="Z1588" s="631"/>
      <c r="AA1588" s="631"/>
      <c r="AB1588" s="631"/>
      <c r="AC1588" s="631"/>
      <c r="AD1588" s="631"/>
      <c r="AF1588" s="627">
        <v>-280</v>
      </c>
      <c r="AG1588" s="627"/>
      <c r="AH1588" s="627"/>
      <c r="AI1588" s="627"/>
      <c r="AJ1588" s="627"/>
      <c r="AK1588" s="627"/>
      <c r="AL1588" s="627"/>
    </row>
    <row r="1589" spans="1:38" ht="11.1" customHeight="1" x14ac:dyDescent="0.25">
      <c r="A1589" s="632" t="s">
        <v>4808</v>
      </c>
      <c r="B1589" s="632"/>
      <c r="C1589" s="632"/>
      <c r="J1589" s="632" t="s">
        <v>1490</v>
      </c>
      <c r="K1589" s="632"/>
      <c r="L1589" s="632"/>
      <c r="M1589" s="632"/>
      <c r="N1589" s="632"/>
      <c r="O1589" s="632"/>
      <c r="P1589" s="632"/>
      <c r="Q1589" s="633">
        <v>413291.64</v>
      </c>
      <c r="R1589" s="633"/>
      <c r="T1589" s="634">
        <v>28269.49</v>
      </c>
      <c r="U1589" s="634"/>
      <c r="V1589" s="634"/>
      <c r="Y1589" s="634">
        <v>0</v>
      </c>
      <c r="Z1589" s="634"/>
      <c r="AA1589" s="634"/>
      <c r="AB1589" s="634"/>
      <c r="AC1589" s="634"/>
      <c r="AD1589" s="634"/>
      <c r="AF1589" s="633">
        <v>441561.13</v>
      </c>
      <c r="AG1589" s="633"/>
      <c r="AH1589" s="633"/>
      <c r="AI1589" s="633"/>
      <c r="AJ1589" s="633"/>
      <c r="AK1589" s="633"/>
      <c r="AL1589" s="633"/>
    </row>
    <row r="1590" spans="1:38" ht="11.1" customHeight="1" x14ac:dyDescent="0.25">
      <c r="A1590" s="630" t="s">
        <v>4809</v>
      </c>
      <c r="B1590" s="630"/>
      <c r="C1590" s="630"/>
      <c r="K1590" s="630" t="s">
        <v>445</v>
      </c>
      <c r="L1590" s="630"/>
      <c r="M1590" s="630"/>
      <c r="N1590" s="630"/>
      <c r="O1590" s="630"/>
      <c r="P1590" s="630"/>
      <c r="Q1590" s="627">
        <v>72691.8</v>
      </c>
      <c r="R1590" s="627"/>
      <c r="T1590" s="631">
        <v>4911.63</v>
      </c>
      <c r="U1590" s="631"/>
      <c r="V1590" s="631"/>
      <c r="Y1590" s="631">
        <v>0</v>
      </c>
      <c r="Z1590" s="631"/>
      <c r="AA1590" s="631"/>
      <c r="AB1590" s="631"/>
      <c r="AC1590" s="631"/>
      <c r="AD1590" s="631"/>
      <c r="AF1590" s="627">
        <v>77603.429999999993</v>
      </c>
      <c r="AG1590" s="627"/>
      <c r="AH1590" s="627"/>
      <c r="AI1590" s="627"/>
      <c r="AJ1590" s="627"/>
      <c r="AK1590" s="627"/>
      <c r="AL1590" s="627"/>
    </row>
    <row r="1591" spans="1:38" ht="11.1" customHeight="1" x14ac:dyDescent="0.25">
      <c r="A1591" s="630" t="s">
        <v>4810</v>
      </c>
      <c r="B1591" s="630"/>
      <c r="C1591" s="630"/>
      <c r="M1591" s="630" t="s">
        <v>1056</v>
      </c>
      <c r="N1591" s="630"/>
      <c r="O1591" s="630"/>
      <c r="P1591" s="630"/>
      <c r="Q1591" s="627">
        <v>72691.8</v>
      </c>
      <c r="R1591" s="627"/>
      <c r="T1591" s="631">
        <v>4911.63</v>
      </c>
      <c r="U1591" s="631"/>
      <c r="V1591" s="631"/>
      <c r="Y1591" s="631">
        <v>0</v>
      </c>
      <c r="Z1591" s="631"/>
      <c r="AA1591" s="631"/>
      <c r="AB1591" s="631"/>
      <c r="AC1591" s="631"/>
      <c r="AD1591" s="631"/>
      <c r="AF1591" s="627">
        <v>77603.429999999993</v>
      </c>
      <c r="AG1591" s="627"/>
      <c r="AH1591" s="627"/>
      <c r="AI1591" s="627"/>
      <c r="AJ1591" s="627"/>
      <c r="AK1591" s="627"/>
      <c r="AL1591" s="627"/>
    </row>
    <row r="1592" spans="1:38" ht="11.1" customHeight="1" x14ac:dyDescent="0.25">
      <c r="A1592" s="630" t="s">
        <v>4811</v>
      </c>
      <c r="B1592" s="630"/>
      <c r="C1592" s="630"/>
      <c r="K1592" s="630" t="s">
        <v>216</v>
      </c>
      <c r="L1592" s="630"/>
      <c r="M1592" s="630"/>
      <c r="N1592" s="630"/>
      <c r="O1592" s="630"/>
      <c r="P1592" s="630"/>
      <c r="Q1592" s="627">
        <v>334822.87</v>
      </c>
      <c r="R1592" s="627"/>
      <c r="T1592" s="631">
        <v>22623.25</v>
      </c>
      <c r="U1592" s="631"/>
      <c r="V1592" s="631"/>
      <c r="Y1592" s="631">
        <v>0</v>
      </c>
      <c r="Z1592" s="631"/>
      <c r="AA1592" s="631"/>
      <c r="AB1592" s="631"/>
      <c r="AC1592" s="631"/>
      <c r="AD1592" s="631"/>
      <c r="AF1592" s="627">
        <v>357446.12</v>
      </c>
      <c r="AG1592" s="627"/>
      <c r="AH1592" s="627"/>
      <c r="AI1592" s="627"/>
      <c r="AJ1592" s="627"/>
      <c r="AK1592" s="627"/>
      <c r="AL1592" s="627"/>
    </row>
    <row r="1593" spans="1:38" ht="11.1" customHeight="1" x14ac:dyDescent="0.25">
      <c r="A1593" s="630" t="s">
        <v>4812</v>
      </c>
      <c r="B1593" s="630"/>
      <c r="C1593" s="630"/>
      <c r="M1593" s="630" t="s">
        <v>1061</v>
      </c>
      <c r="N1593" s="630"/>
      <c r="O1593" s="630"/>
      <c r="P1593" s="630"/>
      <c r="Q1593" s="627">
        <v>334822.87</v>
      </c>
      <c r="R1593" s="627"/>
      <c r="T1593" s="631">
        <v>22623.25</v>
      </c>
      <c r="U1593" s="631"/>
      <c r="V1593" s="631"/>
      <c r="Y1593" s="631">
        <v>0</v>
      </c>
      <c r="Z1593" s="631"/>
      <c r="AA1593" s="631"/>
      <c r="AB1593" s="631"/>
      <c r="AC1593" s="631"/>
      <c r="AD1593" s="631"/>
      <c r="AF1593" s="627">
        <v>357446.12</v>
      </c>
      <c r="AG1593" s="627"/>
      <c r="AH1593" s="627"/>
      <c r="AI1593" s="627"/>
      <c r="AJ1593" s="627"/>
      <c r="AK1593" s="627"/>
      <c r="AL1593" s="627"/>
    </row>
    <row r="1594" spans="1:38" ht="11.1" customHeight="1" x14ac:dyDescent="0.25">
      <c r="A1594" s="630" t="s">
        <v>4813</v>
      </c>
      <c r="B1594" s="630"/>
      <c r="C1594" s="630"/>
      <c r="K1594" s="630" t="s">
        <v>1074</v>
      </c>
      <c r="L1594" s="630"/>
      <c r="M1594" s="630"/>
      <c r="N1594" s="630"/>
      <c r="O1594" s="630"/>
      <c r="P1594" s="630"/>
      <c r="Q1594" s="627">
        <v>5776.97</v>
      </c>
      <c r="R1594" s="627"/>
      <c r="T1594" s="631">
        <v>734.61</v>
      </c>
      <c r="U1594" s="631"/>
      <c r="V1594" s="631"/>
      <c r="Y1594" s="631">
        <v>0</v>
      </c>
      <c r="Z1594" s="631"/>
      <c r="AA1594" s="631"/>
      <c r="AB1594" s="631"/>
      <c r="AC1594" s="631"/>
      <c r="AD1594" s="631"/>
      <c r="AF1594" s="627">
        <v>6511.58</v>
      </c>
      <c r="AG1594" s="627"/>
      <c r="AH1594" s="627"/>
      <c r="AI1594" s="627"/>
      <c r="AJ1594" s="627"/>
      <c r="AK1594" s="627"/>
      <c r="AL1594" s="627"/>
    </row>
    <row r="1595" spans="1:38" ht="11.1" customHeight="1" x14ac:dyDescent="0.25">
      <c r="A1595" s="630" t="s">
        <v>4814</v>
      </c>
      <c r="B1595" s="630"/>
      <c r="C1595" s="630"/>
      <c r="M1595" s="630" t="s">
        <v>2017</v>
      </c>
      <c r="N1595" s="630"/>
      <c r="O1595" s="630"/>
      <c r="P1595" s="630"/>
      <c r="Q1595" s="627">
        <v>5776.97</v>
      </c>
      <c r="R1595" s="627"/>
      <c r="T1595" s="631">
        <v>734.61</v>
      </c>
      <c r="U1595" s="631"/>
      <c r="V1595" s="631"/>
      <c r="Y1595" s="631">
        <v>0</v>
      </c>
      <c r="Z1595" s="631"/>
      <c r="AA1595" s="631"/>
      <c r="AB1595" s="631"/>
      <c r="AC1595" s="631"/>
      <c r="AD1595" s="631"/>
      <c r="AF1595" s="627">
        <v>6511.58</v>
      </c>
      <c r="AG1595" s="627"/>
      <c r="AH1595" s="627"/>
      <c r="AI1595" s="627"/>
      <c r="AJ1595" s="627"/>
      <c r="AK1595" s="627"/>
      <c r="AL1595" s="627"/>
    </row>
    <row r="1596" spans="1:38" ht="11.1" customHeight="1" x14ac:dyDescent="0.25">
      <c r="A1596" s="632" t="s">
        <v>4815</v>
      </c>
      <c r="B1596" s="632"/>
      <c r="C1596" s="632"/>
      <c r="H1596" s="632" t="s">
        <v>2019</v>
      </c>
      <c r="I1596" s="632"/>
      <c r="J1596" s="632"/>
      <c r="K1596" s="632"/>
      <c r="L1596" s="632"/>
      <c r="M1596" s="632"/>
      <c r="N1596" s="632"/>
      <c r="O1596" s="632"/>
      <c r="P1596" s="632"/>
      <c r="Q1596" s="633">
        <v>289005.90999999997</v>
      </c>
      <c r="R1596" s="633"/>
      <c r="T1596" s="634">
        <v>41774.400000000001</v>
      </c>
      <c r="U1596" s="634"/>
      <c r="V1596" s="634"/>
      <c r="Y1596" s="634">
        <v>0</v>
      </c>
      <c r="Z1596" s="634"/>
      <c r="AA1596" s="634"/>
      <c r="AB1596" s="634"/>
      <c r="AC1596" s="634"/>
      <c r="AD1596" s="634"/>
      <c r="AF1596" s="633">
        <v>330780.31</v>
      </c>
      <c r="AG1596" s="633"/>
      <c r="AH1596" s="633"/>
      <c r="AI1596" s="633"/>
      <c r="AJ1596" s="633"/>
      <c r="AK1596" s="633"/>
      <c r="AL1596" s="633"/>
    </row>
    <row r="1597" spans="1:38" ht="11.1" customHeight="1" x14ac:dyDescent="0.25">
      <c r="A1597" s="632" t="s">
        <v>4816</v>
      </c>
      <c r="B1597" s="632"/>
      <c r="C1597" s="632"/>
      <c r="I1597" s="632" t="s">
        <v>1995</v>
      </c>
      <c r="J1597" s="632"/>
      <c r="K1597" s="632"/>
      <c r="L1597" s="632"/>
      <c r="M1597" s="632"/>
      <c r="N1597" s="632"/>
      <c r="O1597" s="632"/>
      <c r="P1597" s="632"/>
      <c r="Q1597" s="633">
        <v>289005.90999999997</v>
      </c>
      <c r="R1597" s="633"/>
      <c r="T1597" s="634">
        <v>13122.4</v>
      </c>
      <c r="U1597" s="634"/>
      <c r="V1597" s="634"/>
      <c r="Y1597" s="634">
        <v>0</v>
      </c>
      <c r="Z1597" s="634"/>
      <c r="AA1597" s="634"/>
      <c r="AB1597" s="634"/>
      <c r="AC1597" s="634"/>
      <c r="AD1597" s="634"/>
      <c r="AF1597" s="633">
        <v>302128.31</v>
      </c>
      <c r="AG1597" s="633"/>
      <c r="AH1597" s="633"/>
      <c r="AI1597" s="633"/>
      <c r="AJ1597" s="633"/>
      <c r="AK1597" s="633"/>
      <c r="AL1597" s="633"/>
    </row>
    <row r="1598" spans="1:38" ht="11.1" customHeight="1" x14ac:dyDescent="0.25">
      <c r="A1598" s="632" t="s">
        <v>4817</v>
      </c>
      <c r="B1598" s="632"/>
      <c r="C1598" s="632"/>
      <c r="J1598" s="632" t="s">
        <v>3017</v>
      </c>
      <c r="K1598" s="632"/>
      <c r="L1598" s="632"/>
      <c r="M1598" s="632"/>
      <c r="N1598" s="632"/>
      <c r="O1598" s="632"/>
      <c r="P1598" s="632"/>
      <c r="Q1598" s="633">
        <v>129648.87</v>
      </c>
      <c r="R1598" s="633"/>
      <c r="T1598" s="634">
        <v>0</v>
      </c>
      <c r="U1598" s="634"/>
      <c r="V1598" s="634"/>
      <c r="Y1598" s="634">
        <v>0</v>
      </c>
      <c r="Z1598" s="634"/>
      <c r="AA1598" s="634"/>
      <c r="AB1598" s="634"/>
      <c r="AC1598" s="634"/>
      <c r="AD1598" s="634"/>
      <c r="AF1598" s="633">
        <v>129648.87</v>
      </c>
      <c r="AG1598" s="633"/>
      <c r="AH1598" s="633"/>
      <c r="AI1598" s="633"/>
      <c r="AJ1598" s="633"/>
      <c r="AK1598" s="633"/>
      <c r="AL1598" s="633"/>
    </row>
    <row r="1599" spans="1:38" ht="11.1" customHeight="1" x14ac:dyDescent="0.25">
      <c r="A1599" s="630" t="s">
        <v>4818</v>
      </c>
      <c r="B1599" s="630"/>
      <c r="C1599" s="630"/>
      <c r="K1599" s="630" t="s">
        <v>3019</v>
      </c>
      <c r="L1599" s="630"/>
      <c r="M1599" s="630"/>
      <c r="N1599" s="630"/>
      <c r="O1599" s="630"/>
      <c r="P1599" s="630"/>
      <c r="Q1599" s="627">
        <v>129648.87</v>
      </c>
      <c r="R1599" s="627"/>
      <c r="T1599" s="631">
        <v>0</v>
      </c>
      <c r="U1599" s="631"/>
      <c r="V1599" s="631"/>
      <c r="Y1599" s="631">
        <v>0</v>
      </c>
      <c r="Z1599" s="631"/>
      <c r="AA1599" s="631"/>
      <c r="AB1599" s="631"/>
      <c r="AC1599" s="631"/>
      <c r="AD1599" s="631"/>
      <c r="AF1599" s="627">
        <v>129648.87</v>
      </c>
      <c r="AG1599" s="627"/>
      <c r="AH1599" s="627"/>
      <c r="AI1599" s="627"/>
      <c r="AJ1599" s="627"/>
      <c r="AK1599" s="627"/>
      <c r="AL1599" s="627"/>
    </row>
    <row r="1600" spans="1:38" ht="11.1" customHeight="1" x14ac:dyDescent="0.25">
      <c r="A1600" s="630" t="s">
        <v>4819</v>
      </c>
      <c r="B1600" s="630"/>
      <c r="C1600" s="630"/>
      <c r="L1600" s="630" t="s">
        <v>586</v>
      </c>
      <c r="M1600" s="630"/>
      <c r="N1600" s="630"/>
      <c r="O1600" s="630"/>
      <c r="P1600" s="630"/>
      <c r="Q1600" s="627">
        <v>129648.87</v>
      </c>
      <c r="R1600" s="627"/>
      <c r="T1600" s="631">
        <v>0</v>
      </c>
      <c r="U1600" s="631"/>
      <c r="V1600" s="631"/>
      <c r="Y1600" s="631">
        <v>0</v>
      </c>
      <c r="Z1600" s="631"/>
      <c r="AA1600" s="631"/>
      <c r="AB1600" s="631"/>
      <c r="AC1600" s="631"/>
      <c r="AD1600" s="631"/>
      <c r="AF1600" s="627">
        <v>129648.87</v>
      </c>
      <c r="AG1600" s="627"/>
      <c r="AH1600" s="627"/>
      <c r="AI1600" s="627"/>
      <c r="AJ1600" s="627"/>
      <c r="AK1600" s="627"/>
      <c r="AL1600" s="627"/>
    </row>
    <row r="1601" spans="1:38" ht="11.1" customHeight="1" x14ac:dyDescent="0.25">
      <c r="A1601" s="630" t="s">
        <v>4820</v>
      </c>
      <c r="B1601" s="630"/>
      <c r="C1601" s="630"/>
      <c r="M1601" s="630" t="s">
        <v>3022</v>
      </c>
      <c r="N1601" s="630"/>
      <c r="O1601" s="630"/>
      <c r="P1601" s="630"/>
      <c r="Q1601" s="627">
        <v>129648.87</v>
      </c>
      <c r="R1601" s="627"/>
      <c r="T1601" s="631">
        <v>0</v>
      </c>
      <c r="U1601" s="631"/>
      <c r="V1601" s="631"/>
      <c r="Y1601" s="631">
        <v>0</v>
      </c>
      <c r="Z1601" s="631"/>
      <c r="AA1601" s="631"/>
      <c r="AB1601" s="631"/>
      <c r="AC1601" s="631"/>
      <c r="AD1601" s="631"/>
      <c r="AF1601" s="627">
        <v>129648.87</v>
      </c>
      <c r="AG1601" s="627"/>
      <c r="AH1601" s="627"/>
      <c r="AI1601" s="627"/>
      <c r="AJ1601" s="627"/>
      <c r="AK1601" s="627"/>
      <c r="AL1601" s="627"/>
    </row>
    <row r="1602" spans="1:38" ht="11.1" customHeight="1" x14ac:dyDescent="0.25">
      <c r="A1602" s="632" t="s">
        <v>4821</v>
      </c>
      <c r="B1602" s="632"/>
      <c r="C1602" s="632"/>
      <c r="J1602" s="632" t="s">
        <v>1739</v>
      </c>
      <c r="K1602" s="632"/>
      <c r="L1602" s="632"/>
      <c r="M1602" s="632"/>
      <c r="N1602" s="632"/>
      <c r="O1602" s="632"/>
      <c r="P1602" s="632"/>
      <c r="Q1602" s="633">
        <v>159357.04</v>
      </c>
      <c r="R1602" s="633"/>
      <c r="T1602" s="634">
        <v>13122.4</v>
      </c>
      <c r="U1602" s="634"/>
      <c r="V1602" s="634"/>
      <c r="Y1602" s="634">
        <v>0</v>
      </c>
      <c r="Z1602" s="634"/>
      <c r="AA1602" s="634"/>
      <c r="AB1602" s="634"/>
      <c r="AC1602" s="634"/>
      <c r="AD1602" s="634"/>
      <c r="AF1602" s="633">
        <v>172479.44</v>
      </c>
      <c r="AG1602" s="633"/>
      <c r="AH1602" s="633"/>
      <c r="AI1602" s="633"/>
      <c r="AJ1602" s="633"/>
      <c r="AK1602" s="633"/>
      <c r="AL1602" s="633"/>
    </row>
    <row r="1603" spans="1:38" ht="11.1" customHeight="1" x14ac:dyDescent="0.25">
      <c r="A1603" s="630" t="s">
        <v>4822</v>
      </c>
      <c r="B1603" s="630"/>
      <c r="C1603" s="630"/>
      <c r="K1603" s="630" t="s">
        <v>331</v>
      </c>
      <c r="L1603" s="630"/>
      <c r="M1603" s="630"/>
      <c r="N1603" s="630"/>
      <c r="O1603" s="630"/>
      <c r="P1603" s="630"/>
      <c r="Q1603" s="627">
        <v>159357.04</v>
      </c>
      <c r="R1603" s="627"/>
      <c r="T1603" s="631">
        <v>13122.4</v>
      </c>
      <c r="U1603" s="631"/>
      <c r="V1603" s="631"/>
      <c r="Y1603" s="631">
        <v>0</v>
      </c>
      <c r="Z1603" s="631"/>
      <c r="AA1603" s="631"/>
      <c r="AB1603" s="631"/>
      <c r="AC1603" s="631"/>
      <c r="AD1603" s="631"/>
      <c r="AF1603" s="627">
        <v>172479.44</v>
      </c>
      <c r="AG1603" s="627"/>
      <c r="AH1603" s="627"/>
      <c r="AI1603" s="627"/>
      <c r="AJ1603" s="627"/>
      <c r="AK1603" s="627"/>
      <c r="AL1603" s="627"/>
    </row>
    <row r="1604" spans="1:38" ht="11.1" customHeight="1" x14ac:dyDescent="0.25">
      <c r="A1604" s="630" t="s">
        <v>4823</v>
      </c>
      <c r="B1604" s="630"/>
      <c r="C1604" s="630"/>
      <c r="L1604" s="630" t="s">
        <v>2024</v>
      </c>
      <c r="M1604" s="630"/>
      <c r="N1604" s="630"/>
      <c r="O1604" s="630"/>
      <c r="P1604" s="630"/>
      <c r="Q1604" s="627">
        <v>159357.04</v>
      </c>
      <c r="R1604" s="627"/>
      <c r="T1604" s="631">
        <v>13122.4</v>
      </c>
      <c r="U1604" s="631"/>
      <c r="V1604" s="631"/>
      <c r="Y1604" s="631">
        <v>0</v>
      </c>
      <c r="Z1604" s="631"/>
      <c r="AA1604" s="631"/>
      <c r="AB1604" s="631"/>
      <c r="AC1604" s="631"/>
      <c r="AD1604" s="631"/>
      <c r="AF1604" s="627">
        <v>172479.44</v>
      </c>
      <c r="AG1604" s="627"/>
      <c r="AH1604" s="627"/>
      <c r="AI1604" s="627"/>
      <c r="AJ1604" s="627"/>
      <c r="AK1604" s="627"/>
      <c r="AL1604" s="627"/>
    </row>
    <row r="1605" spans="1:38" ht="11.1" customHeight="1" x14ac:dyDescent="0.25">
      <c r="A1605" s="630" t="s">
        <v>4824</v>
      </c>
      <c r="B1605" s="630"/>
      <c r="C1605" s="630"/>
      <c r="M1605" s="630" t="s">
        <v>2543</v>
      </c>
      <c r="N1605" s="630"/>
      <c r="O1605" s="630"/>
      <c r="P1605" s="630"/>
      <c r="Q1605" s="627">
        <v>1.75</v>
      </c>
      <c r="R1605" s="627"/>
      <c r="T1605" s="631">
        <v>0</v>
      </c>
      <c r="U1605" s="631"/>
      <c r="V1605" s="631"/>
      <c r="Y1605" s="631">
        <v>0</v>
      </c>
      <c r="Z1605" s="631"/>
      <c r="AA1605" s="631"/>
      <c r="AB1605" s="631"/>
      <c r="AC1605" s="631"/>
      <c r="AD1605" s="631"/>
      <c r="AF1605" s="627">
        <v>1.75</v>
      </c>
      <c r="AG1605" s="627"/>
      <c r="AH1605" s="627"/>
      <c r="AI1605" s="627"/>
      <c r="AJ1605" s="627"/>
      <c r="AK1605" s="627"/>
      <c r="AL1605" s="627"/>
    </row>
    <row r="1606" spans="1:38" ht="11.1" customHeight="1" x14ac:dyDescent="0.25">
      <c r="A1606" s="630" t="s">
        <v>4825</v>
      </c>
      <c r="B1606" s="630"/>
      <c r="C1606" s="630"/>
      <c r="M1606" s="630" t="s">
        <v>3024</v>
      </c>
      <c r="N1606" s="630"/>
      <c r="O1606" s="630"/>
      <c r="P1606" s="630"/>
      <c r="Q1606" s="627">
        <v>159355.29</v>
      </c>
      <c r="R1606" s="627"/>
      <c r="T1606" s="631">
        <v>13122.4</v>
      </c>
      <c r="U1606" s="631"/>
      <c r="V1606" s="631"/>
      <c r="Y1606" s="631">
        <v>0</v>
      </c>
      <c r="Z1606" s="631"/>
      <c r="AA1606" s="631"/>
      <c r="AB1606" s="631"/>
      <c r="AC1606" s="631"/>
      <c r="AD1606" s="631"/>
      <c r="AF1606" s="627">
        <v>172477.69</v>
      </c>
      <c r="AG1606" s="627"/>
      <c r="AH1606" s="627"/>
      <c r="AI1606" s="627"/>
      <c r="AJ1606" s="627"/>
      <c r="AK1606" s="627"/>
      <c r="AL1606" s="627"/>
    </row>
    <row r="1607" spans="1:38" ht="11.1" customHeight="1" x14ac:dyDescent="0.25">
      <c r="A1607" s="632" t="s">
        <v>4826</v>
      </c>
      <c r="B1607" s="632"/>
      <c r="C1607" s="632"/>
      <c r="I1607" s="632" t="s">
        <v>793</v>
      </c>
      <c r="J1607" s="632"/>
      <c r="K1607" s="632"/>
      <c r="L1607" s="632"/>
      <c r="M1607" s="632"/>
      <c r="N1607" s="632"/>
      <c r="O1607" s="632"/>
      <c r="P1607" s="632"/>
      <c r="Q1607" s="633">
        <v>0</v>
      </c>
      <c r="R1607" s="633"/>
      <c r="T1607" s="634">
        <v>28652</v>
      </c>
      <c r="U1607" s="634"/>
      <c r="V1607" s="634"/>
      <c r="Y1607" s="634">
        <v>0</v>
      </c>
      <c r="Z1607" s="634"/>
      <c r="AA1607" s="634"/>
      <c r="AB1607" s="634"/>
      <c r="AC1607" s="634"/>
      <c r="AD1607" s="634"/>
      <c r="AF1607" s="633">
        <v>28652</v>
      </c>
      <c r="AG1607" s="633"/>
      <c r="AH1607" s="633"/>
      <c r="AI1607" s="633"/>
      <c r="AJ1607" s="633"/>
      <c r="AK1607" s="633"/>
      <c r="AL1607" s="633"/>
    </row>
    <row r="1608" spans="1:38" ht="11.1" customHeight="1" x14ac:dyDescent="0.25">
      <c r="A1608" s="632" t="s">
        <v>4827</v>
      </c>
      <c r="B1608" s="632"/>
      <c r="C1608" s="632"/>
      <c r="J1608" s="632" t="s">
        <v>1707</v>
      </c>
      <c r="K1608" s="632"/>
      <c r="L1608" s="632"/>
      <c r="M1608" s="632"/>
      <c r="N1608" s="632"/>
      <c r="O1608" s="632"/>
      <c r="P1608" s="632"/>
      <c r="Q1608" s="633">
        <v>0</v>
      </c>
      <c r="R1608" s="633"/>
      <c r="T1608" s="634">
        <v>28652</v>
      </c>
      <c r="U1608" s="634"/>
      <c r="V1608" s="634"/>
      <c r="Y1608" s="634">
        <v>0</v>
      </c>
      <c r="Z1608" s="634"/>
      <c r="AA1608" s="634"/>
      <c r="AB1608" s="634"/>
      <c r="AC1608" s="634"/>
      <c r="AD1608" s="634"/>
      <c r="AF1608" s="633">
        <v>28652</v>
      </c>
      <c r="AG1608" s="633"/>
      <c r="AH1608" s="633"/>
      <c r="AI1608" s="633"/>
      <c r="AJ1608" s="633"/>
      <c r="AK1608" s="633"/>
      <c r="AL1608" s="633"/>
    </row>
    <row r="1609" spans="1:38" ht="11.1" customHeight="1" x14ac:dyDescent="0.25">
      <c r="A1609" s="630" t="s">
        <v>4828</v>
      </c>
      <c r="B1609" s="630"/>
      <c r="C1609" s="630"/>
      <c r="M1609" s="630" t="s">
        <v>3028</v>
      </c>
      <c r="N1609" s="630"/>
      <c r="O1609" s="630"/>
      <c r="P1609" s="630"/>
      <c r="Q1609" s="627">
        <v>0</v>
      </c>
      <c r="R1609" s="627"/>
      <c r="T1609" s="631">
        <v>28652</v>
      </c>
      <c r="U1609" s="631"/>
      <c r="V1609" s="631"/>
      <c r="Y1609" s="631">
        <v>0</v>
      </c>
      <c r="Z1609" s="631"/>
      <c r="AA1609" s="631"/>
      <c r="AB1609" s="631"/>
      <c r="AC1609" s="631"/>
      <c r="AD1609" s="631"/>
      <c r="AF1609" s="627">
        <v>28652</v>
      </c>
      <c r="AG1609" s="627"/>
      <c r="AH1609" s="627"/>
      <c r="AI1609" s="627"/>
      <c r="AJ1609" s="627"/>
      <c r="AK1609" s="627"/>
      <c r="AL1609" s="627"/>
    </row>
    <row r="1610" spans="1:38" s="93" customFormat="1" ht="11.1" customHeight="1" x14ac:dyDescent="0.25">
      <c r="A1610" s="635" t="s">
        <v>4829</v>
      </c>
      <c r="B1610" s="635"/>
      <c r="C1610" s="635"/>
      <c r="H1610" s="635" t="s">
        <v>2026</v>
      </c>
      <c r="I1610" s="635"/>
      <c r="J1610" s="635"/>
      <c r="K1610" s="635"/>
      <c r="L1610" s="635"/>
      <c r="M1610" s="635"/>
      <c r="N1610" s="635"/>
      <c r="O1610" s="635"/>
      <c r="P1610" s="635"/>
      <c r="Q1610" s="636">
        <v>-523324.68</v>
      </c>
      <c r="R1610" s="636"/>
      <c r="T1610" s="637">
        <v>81090.98</v>
      </c>
      <c r="U1610" s="637"/>
      <c r="V1610" s="637"/>
      <c r="Y1610" s="637">
        <v>5999417.25</v>
      </c>
      <c r="Z1610" s="637"/>
      <c r="AA1610" s="637"/>
      <c r="AB1610" s="637"/>
      <c r="AC1610" s="637"/>
      <c r="AD1610" s="637"/>
      <c r="AF1610" s="636">
        <v>-6441650.9500000002</v>
      </c>
      <c r="AG1610" s="636"/>
      <c r="AH1610" s="636"/>
      <c r="AI1610" s="636"/>
      <c r="AJ1610" s="636"/>
      <c r="AK1610" s="636"/>
      <c r="AL1610" s="636"/>
    </row>
    <row r="1611" spans="1:38" ht="11.1" customHeight="1" x14ac:dyDescent="0.25">
      <c r="A1611" s="632" t="s">
        <v>4830</v>
      </c>
      <c r="B1611" s="632"/>
      <c r="C1611" s="632"/>
      <c r="H1611" s="632" t="s">
        <v>2028</v>
      </c>
      <c r="I1611" s="632"/>
      <c r="J1611" s="632"/>
      <c r="K1611" s="632"/>
      <c r="L1611" s="632"/>
      <c r="M1611" s="632"/>
      <c r="N1611" s="632"/>
      <c r="O1611" s="632"/>
      <c r="P1611" s="632"/>
      <c r="Q1611" s="633">
        <v>-523324.68</v>
      </c>
      <c r="R1611" s="633"/>
      <c r="T1611" s="634">
        <v>81090.98</v>
      </c>
      <c r="U1611" s="634"/>
      <c r="V1611" s="634"/>
      <c r="Y1611" s="634">
        <v>5999417.25</v>
      </c>
      <c r="Z1611" s="634"/>
      <c r="AA1611" s="634"/>
      <c r="AB1611" s="634"/>
      <c r="AC1611" s="634"/>
      <c r="AD1611" s="634"/>
      <c r="AF1611" s="633">
        <v>-6441650.9500000002</v>
      </c>
      <c r="AG1611" s="633"/>
      <c r="AH1611" s="633"/>
      <c r="AI1611" s="633"/>
      <c r="AJ1611" s="633"/>
      <c r="AK1611" s="633"/>
      <c r="AL1611" s="633"/>
    </row>
    <row r="1612" spans="1:38" ht="11.1" customHeight="1" x14ac:dyDescent="0.25">
      <c r="A1612" s="632" t="s">
        <v>4831</v>
      </c>
      <c r="B1612" s="632"/>
      <c r="C1612" s="632"/>
      <c r="I1612" s="632" t="s">
        <v>1995</v>
      </c>
      <c r="J1612" s="632"/>
      <c r="K1612" s="632"/>
      <c r="L1612" s="632"/>
      <c r="M1612" s="632"/>
      <c r="N1612" s="632"/>
      <c r="O1612" s="632"/>
      <c r="P1612" s="632"/>
      <c r="Q1612" s="633">
        <v>-523324.68</v>
      </c>
      <c r="R1612" s="633"/>
      <c r="T1612" s="634">
        <v>81090.98</v>
      </c>
      <c r="U1612" s="634"/>
      <c r="V1612" s="634"/>
      <c r="Y1612" s="634">
        <v>5999417.25</v>
      </c>
      <c r="Z1612" s="634"/>
      <c r="AA1612" s="634"/>
      <c r="AB1612" s="634"/>
      <c r="AC1612" s="634"/>
      <c r="AD1612" s="634"/>
      <c r="AF1612" s="633">
        <v>-6441650.9500000002</v>
      </c>
      <c r="AG1612" s="633"/>
      <c r="AH1612" s="633"/>
      <c r="AI1612" s="633"/>
      <c r="AJ1612" s="633"/>
      <c r="AK1612" s="633"/>
      <c r="AL1612" s="633"/>
    </row>
    <row r="1613" spans="1:38" ht="11.1" customHeight="1" x14ac:dyDescent="0.25">
      <c r="A1613" s="632" t="s">
        <v>4832</v>
      </c>
      <c r="B1613" s="632"/>
      <c r="C1613" s="632"/>
      <c r="J1613" s="632" t="s">
        <v>2031</v>
      </c>
      <c r="K1613" s="632"/>
      <c r="L1613" s="632"/>
      <c r="M1613" s="632"/>
      <c r="N1613" s="632"/>
      <c r="O1613" s="632"/>
      <c r="P1613" s="632"/>
      <c r="Q1613" s="633">
        <v>-11599069.77</v>
      </c>
      <c r="R1613" s="633"/>
      <c r="T1613" s="634">
        <v>0</v>
      </c>
      <c r="U1613" s="634"/>
      <c r="V1613" s="634"/>
      <c r="Y1613" s="634">
        <v>5999417.1200000001</v>
      </c>
      <c r="Z1613" s="634"/>
      <c r="AA1613" s="634"/>
      <c r="AB1613" s="634"/>
      <c r="AC1613" s="634"/>
      <c r="AD1613" s="634"/>
      <c r="AF1613" s="633">
        <v>-17598486.890000001</v>
      </c>
      <c r="AG1613" s="633"/>
      <c r="AH1613" s="633"/>
      <c r="AI1613" s="633"/>
      <c r="AJ1613" s="633"/>
      <c r="AK1613" s="633"/>
      <c r="AL1613" s="633"/>
    </row>
    <row r="1614" spans="1:38" ht="11.1" customHeight="1" x14ac:dyDescent="0.25">
      <c r="A1614" s="630" t="s">
        <v>4833</v>
      </c>
      <c r="B1614" s="630"/>
      <c r="C1614" s="630"/>
      <c r="K1614" s="630" t="s">
        <v>2033</v>
      </c>
      <c r="L1614" s="630"/>
      <c r="M1614" s="630"/>
      <c r="N1614" s="630"/>
      <c r="O1614" s="630"/>
      <c r="P1614" s="630"/>
      <c r="Q1614" s="627">
        <v>-11599069.77</v>
      </c>
      <c r="R1614" s="627"/>
      <c r="T1614" s="631">
        <v>0</v>
      </c>
      <c r="U1614" s="631"/>
      <c r="V1614" s="631"/>
      <c r="Y1614" s="631">
        <v>5999417.1200000001</v>
      </c>
      <c r="Z1614" s="631"/>
      <c r="AA1614" s="631"/>
      <c r="AB1614" s="631"/>
      <c r="AC1614" s="631"/>
      <c r="AD1614" s="631"/>
      <c r="AF1614" s="627">
        <v>-17598486.890000001</v>
      </c>
      <c r="AG1614" s="627"/>
      <c r="AH1614" s="627"/>
      <c r="AI1614" s="627"/>
      <c r="AJ1614" s="627"/>
      <c r="AK1614" s="627"/>
      <c r="AL1614" s="627"/>
    </row>
    <row r="1615" spans="1:38" ht="11.1" customHeight="1" x14ac:dyDescent="0.25">
      <c r="A1615" s="630" t="s">
        <v>4834</v>
      </c>
      <c r="B1615" s="630"/>
      <c r="C1615" s="630"/>
      <c r="M1615" s="630" t="s">
        <v>555</v>
      </c>
      <c r="N1615" s="630"/>
      <c r="O1615" s="630"/>
      <c r="P1615" s="630"/>
      <c r="Q1615" s="627">
        <v>-2635691.58</v>
      </c>
      <c r="R1615" s="627"/>
      <c r="T1615" s="631">
        <v>0</v>
      </c>
      <c r="U1615" s="631"/>
      <c r="V1615" s="631"/>
      <c r="Y1615" s="631">
        <v>1604232.61</v>
      </c>
      <c r="Z1615" s="631"/>
      <c r="AA1615" s="631"/>
      <c r="AB1615" s="631"/>
      <c r="AC1615" s="631"/>
      <c r="AD1615" s="631"/>
      <c r="AF1615" s="627">
        <v>-4239924.1900000004</v>
      </c>
      <c r="AG1615" s="627"/>
      <c r="AH1615" s="627"/>
      <c r="AI1615" s="627"/>
      <c r="AJ1615" s="627"/>
      <c r="AK1615" s="627"/>
      <c r="AL1615" s="627"/>
    </row>
    <row r="1616" spans="1:38" ht="11.1" customHeight="1" x14ac:dyDescent="0.25">
      <c r="A1616" s="630" t="s">
        <v>4835</v>
      </c>
      <c r="B1616" s="630"/>
      <c r="C1616" s="630"/>
      <c r="M1616" s="630" t="s">
        <v>559</v>
      </c>
      <c r="N1616" s="630"/>
      <c r="O1616" s="630"/>
      <c r="P1616" s="630"/>
      <c r="Q1616" s="627">
        <v>-1865989.52</v>
      </c>
      <c r="R1616" s="627"/>
      <c r="T1616" s="631">
        <v>0</v>
      </c>
      <c r="U1616" s="631"/>
      <c r="V1616" s="631"/>
      <c r="Y1616" s="631">
        <v>4395184.51</v>
      </c>
      <c r="Z1616" s="631"/>
      <c r="AA1616" s="631"/>
      <c r="AB1616" s="631"/>
      <c r="AC1616" s="631"/>
      <c r="AD1616" s="631"/>
      <c r="AF1616" s="627">
        <v>-6261174.0300000003</v>
      </c>
      <c r="AG1616" s="627"/>
      <c r="AH1616" s="627"/>
      <c r="AI1616" s="627"/>
      <c r="AJ1616" s="627"/>
      <c r="AK1616" s="627"/>
      <c r="AL1616" s="627"/>
    </row>
    <row r="1617" spans="1:38" ht="11.1" customHeight="1" x14ac:dyDescent="0.25">
      <c r="A1617" s="630" t="s">
        <v>4836</v>
      </c>
      <c r="B1617" s="630"/>
      <c r="C1617" s="630"/>
      <c r="M1617" s="630" t="s">
        <v>557</v>
      </c>
      <c r="N1617" s="630"/>
      <c r="O1617" s="630"/>
      <c r="P1617" s="630"/>
      <c r="Q1617" s="627">
        <v>-7097388.6699999999</v>
      </c>
      <c r="R1617" s="627"/>
      <c r="T1617" s="631">
        <v>0</v>
      </c>
      <c r="U1617" s="631"/>
      <c r="V1617" s="631"/>
      <c r="Y1617" s="631">
        <v>0</v>
      </c>
      <c r="Z1617" s="631"/>
      <c r="AA1617" s="631"/>
      <c r="AB1617" s="631"/>
      <c r="AC1617" s="631"/>
      <c r="AD1617" s="631"/>
      <c r="AF1617" s="627">
        <v>-7097388.6699999999</v>
      </c>
      <c r="AG1617" s="627"/>
      <c r="AH1617" s="627"/>
      <c r="AI1617" s="627"/>
      <c r="AJ1617" s="627"/>
      <c r="AK1617" s="627"/>
      <c r="AL1617" s="627"/>
    </row>
    <row r="1618" spans="1:38" ht="11.1" customHeight="1" x14ac:dyDescent="0.25">
      <c r="A1618" s="632" t="s">
        <v>4837</v>
      </c>
      <c r="B1618" s="632"/>
      <c r="C1618" s="632"/>
      <c r="J1618" s="632" t="s">
        <v>2038</v>
      </c>
      <c r="K1618" s="632"/>
      <c r="L1618" s="632"/>
      <c r="M1618" s="632"/>
      <c r="N1618" s="632"/>
      <c r="O1618" s="632"/>
      <c r="P1618" s="632"/>
      <c r="Q1618" s="633">
        <v>11075745.09</v>
      </c>
      <c r="R1618" s="633"/>
      <c r="T1618" s="634">
        <v>81090.98</v>
      </c>
      <c r="U1618" s="634"/>
      <c r="V1618" s="634"/>
      <c r="Y1618" s="634">
        <v>0.13</v>
      </c>
      <c r="Z1618" s="634"/>
      <c r="AA1618" s="634"/>
      <c r="AB1618" s="634"/>
      <c r="AC1618" s="634"/>
      <c r="AD1618" s="634"/>
      <c r="AF1618" s="633">
        <v>11156835.939999999</v>
      </c>
      <c r="AG1618" s="633"/>
      <c r="AH1618" s="633"/>
      <c r="AI1618" s="633"/>
      <c r="AJ1618" s="633"/>
      <c r="AK1618" s="633"/>
      <c r="AL1618" s="633"/>
    </row>
    <row r="1619" spans="1:38" ht="11.1" customHeight="1" x14ac:dyDescent="0.25">
      <c r="A1619" s="630" t="s">
        <v>4838</v>
      </c>
      <c r="B1619" s="630"/>
      <c r="C1619" s="630"/>
      <c r="K1619" s="630" t="s">
        <v>2040</v>
      </c>
      <c r="L1619" s="630"/>
      <c r="M1619" s="630"/>
      <c r="N1619" s="630"/>
      <c r="O1619" s="630"/>
      <c r="P1619" s="630"/>
      <c r="Q1619" s="627">
        <v>11075745.09</v>
      </c>
      <c r="R1619" s="627"/>
      <c r="T1619" s="631">
        <v>81090.98</v>
      </c>
      <c r="U1619" s="631"/>
      <c r="V1619" s="631"/>
      <c r="Y1619" s="631">
        <v>0.13</v>
      </c>
      <c r="Z1619" s="631"/>
      <c r="AA1619" s="631"/>
      <c r="AB1619" s="631"/>
      <c r="AC1619" s="631"/>
      <c r="AD1619" s="631"/>
      <c r="AF1619" s="627">
        <v>11156835.939999999</v>
      </c>
      <c r="AG1619" s="627"/>
      <c r="AH1619" s="627"/>
      <c r="AI1619" s="627"/>
      <c r="AJ1619" s="627"/>
      <c r="AK1619" s="627"/>
      <c r="AL1619" s="627"/>
    </row>
    <row r="1620" spans="1:38" ht="11.1" customHeight="1" x14ac:dyDescent="0.25">
      <c r="A1620" s="630" t="s">
        <v>4839</v>
      </c>
      <c r="B1620" s="630"/>
      <c r="C1620" s="630"/>
      <c r="M1620" s="630" t="s">
        <v>555</v>
      </c>
      <c r="N1620" s="630"/>
      <c r="O1620" s="630"/>
      <c r="P1620" s="630"/>
      <c r="Q1620" s="627">
        <v>4210620.08</v>
      </c>
      <c r="R1620" s="627"/>
      <c r="T1620" s="631">
        <v>0</v>
      </c>
      <c r="U1620" s="631"/>
      <c r="V1620" s="631"/>
      <c r="Y1620" s="631">
        <v>0</v>
      </c>
      <c r="Z1620" s="631"/>
      <c r="AA1620" s="631"/>
      <c r="AB1620" s="631"/>
      <c r="AC1620" s="631"/>
      <c r="AD1620" s="631"/>
      <c r="AF1620" s="627">
        <v>4210620.08</v>
      </c>
      <c r="AG1620" s="627"/>
      <c r="AH1620" s="627"/>
      <c r="AI1620" s="627"/>
      <c r="AJ1620" s="627"/>
      <c r="AK1620" s="627"/>
      <c r="AL1620" s="627"/>
    </row>
    <row r="1621" spans="1:38" ht="11.1" customHeight="1" x14ac:dyDescent="0.25">
      <c r="A1621" s="630" t="s">
        <v>4840</v>
      </c>
      <c r="B1621" s="630"/>
      <c r="C1621" s="630"/>
      <c r="M1621" s="630" t="s">
        <v>559</v>
      </c>
      <c r="N1621" s="630"/>
      <c r="O1621" s="630"/>
      <c r="P1621" s="630"/>
      <c r="Q1621" s="627">
        <v>6865125.0099999998</v>
      </c>
      <c r="R1621" s="627"/>
      <c r="T1621" s="631">
        <v>0</v>
      </c>
      <c r="U1621" s="631"/>
      <c r="V1621" s="631"/>
      <c r="Y1621" s="631">
        <v>0</v>
      </c>
      <c r="Z1621" s="631"/>
      <c r="AA1621" s="631"/>
      <c r="AB1621" s="631"/>
      <c r="AC1621" s="631"/>
      <c r="AD1621" s="631"/>
      <c r="AF1621" s="627">
        <v>6865125.0099999998</v>
      </c>
      <c r="AG1621" s="627"/>
      <c r="AH1621" s="627"/>
      <c r="AI1621" s="627"/>
      <c r="AJ1621" s="627"/>
      <c r="AK1621" s="627"/>
      <c r="AL1621" s="627"/>
    </row>
    <row r="1622" spans="1:38" ht="11.1" customHeight="1" x14ac:dyDescent="0.25">
      <c r="A1622" s="630" t="s">
        <v>4841</v>
      </c>
      <c r="B1622" s="630"/>
      <c r="C1622" s="630"/>
      <c r="M1622" s="630" t="s">
        <v>557</v>
      </c>
      <c r="N1622" s="630"/>
      <c r="O1622" s="630"/>
      <c r="P1622" s="630"/>
      <c r="Q1622" s="627">
        <v>0</v>
      </c>
      <c r="R1622" s="627"/>
      <c r="T1622" s="631">
        <v>81090.98</v>
      </c>
      <c r="U1622" s="631"/>
      <c r="V1622" s="631"/>
      <c r="Y1622" s="631">
        <v>0.13</v>
      </c>
      <c r="Z1622" s="631"/>
      <c r="AA1622" s="631"/>
      <c r="AB1622" s="631"/>
      <c r="AC1622" s="631"/>
      <c r="AD1622" s="631"/>
      <c r="AF1622" s="627">
        <v>81090.850000000006</v>
      </c>
      <c r="AG1622" s="627"/>
      <c r="AH1622" s="627"/>
      <c r="AI1622" s="627"/>
      <c r="AJ1622" s="627"/>
      <c r="AK1622" s="627"/>
      <c r="AL1622" s="627"/>
    </row>
    <row r="1623" spans="1:38" ht="11.1" customHeight="1" x14ac:dyDescent="0.25">
      <c r="A1623" s="632" t="s">
        <v>4842</v>
      </c>
      <c r="B1623" s="632"/>
      <c r="C1623" s="632"/>
      <c r="H1623" s="632" t="s">
        <v>2044</v>
      </c>
      <c r="I1623" s="632"/>
      <c r="J1623" s="632"/>
      <c r="K1623" s="632"/>
      <c r="L1623" s="632"/>
      <c r="M1623" s="632"/>
      <c r="N1623" s="632"/>
      <c r="O1623" s="632"/>
      <c r="P1623" s="632"/>
      <c r="Q1623" s="633">
        <v>57428622.170000002</v>
      </c>
      <c r="R1623" s="633"/>
      <c r="T1623" s="634">
        <v>1262334.06</v>
      </c>
      <c r="U1623" s="634"/>
      <c r="V1623" s="634"/>
      <c r="Y1623" s="634">
        <v>11818703.08</v>
      </c>
      <c r="Z1623" s="634"/>
      <c r="AA1623" s="634"/>
      <c r="AB1623" s="634"/>
      <c r="AC1623" s="634"/>
      <c r="AD1623" s="634"/>
      <c r="AF1623" s="633">
        <v>46872253.149999999</v>
      </c>
      <c r="AG1623" s="633"/>
      <c r="AH1623" s="633"/>
      <c r="AI1623" s="633"/>
      <c r="AJ1623" s="633"/>
      <c r="AK1623" s="633"/>
      <c r="AL1623" s="633"/>
    </row>
    <row r="1624" spans="1:38" s="93" customFormat="1" ht="11.1" customHeight="1" x14ac:dyDescent="0.25">
      <c r="A1624" s="635" t="s">
        <v>4843</v>
      </c>
      <c r="B1624" s="635"/>
      <c r="C1624" s="635"/>
      <c r="H1624" s="635" t="s">
        <v>2046</v>
      </c>
      <c r="I1624" s="635"/>
      <c r="J1624" s="635"/>
      <c r="K1624" s="635"/>
      <c r="L1624" s="635"/>
      <c r="M1624" s="635"/>
      <c r="N1624" s="635"/>
      <c r="O1624" s="635"/>
      <c r="P1624" s="635"/>
      <c r="Q1624" s="636">
        <v>-5189448.6100000003</v>
      </c>
      <c r="R1624" s="636"/>
      <c r="T1624" s="637">
        <v>20388.29</v>
      </c>
      <c r="U1624" s="637"/>
      <c r="V1624" s="637"/>
      <c r="Y1624" s="637">
        <v>435921.4</v>
      </c>
      <c r="Z1624" s="637"/>
      <c r="AA1624" s="637"/>
      <c r="AB1624" s="637"/>
      <c r="AC1624" s="637"/>
      <c r="AD1624" s="637"/>
      <c r="AF1624" s="636">
        <v>-5604981.7199999997</v>
      </c>
      <c r="AG1624" s="636"/>
      <c r="AH1624" s="636"/>
      <c r="AI1624" s="636"/>
      <c r="AJ1624" s="636"/>
      <c r="AK1624" s="636"/>
      <c r="AL1624" s="636"/>
    </row>
    <row r="1625" spans="1:38" ht="11.1" customHeight="1" x14ac:dyDescent="0.25">
      <c r="A1625" s="632" t="s">
        <v>4844</v>
      </c>
      <c r="B1625" s="632"/>
      <c r="C1625" s="632"/>
      <c r="I1625" s="632" t="s">
        <v>581</v>
      </c>
      <c r="J1625" s="632"/>
      <c r="K1625" s="632"/>
      <c r="L1625" s="632"/>
      <c r="M1625" s="632"/>
      <c r="N1625" s="632"/>
      <c r="O1625" s="632"/>
      <c r="P1625" s="632"/>
      <c r="Q1625" s="633">
        <v>-5189448.6100000003</v>
      </c>
      <c r="R1625" s="633"/>
      <c r="T1625" s="634">
        <v>0.01</v>
      </c>
      <c r="U1625" s="634"/>
      <c r="V1625" s="634"/>
      <c r="Y1625" s="634">
        <v>289.72000000000003</v>
      </c>
      <c r="Z1625" s="634"/>
      <c r="AA1625" s="634"/>
      <c r="AB1625" s="634"/>
      <c r="AC1625" s="634"/>
      <c r="AD1625" s="634"/>
      <c r="AF1625" s="633">
        <v>-5189738.32</v>
      </c>
      <c r="AG1625" s="633"/>
      <c r="AH1625" s="633"/>
      <c r="AI1625" s="633"/>
      <c r="AJ1625" s="633"/>
      <c r="AK1625" s="633"/>
      <c r="AL1625" s="633"/>
    </row>
    <row r="1626" spans="1:38" ht="11.1" customHeight="1" x14ac:dyDescent="0.25">
      <c r="A1626" s="632" t="s">
        <v>4845</v>
      </c>
      <c r="B1626" s="632"/>
      <c r="C1626" s="632"/>
      <c r="J1626" s="632" t="s">
        <v>2049</v>
      </c>
      <c r="K1626" s="632"/>
      <c r="L1626" s="632"/>
      <c r="M1626" s="632"/>
      <c r="N1626" s="632"/>
      <c r="O1626" s="632"/>
      <c r="P1626" s="632"/>
      <c r="Q1626" s="633">
        <v>-10315.969999999999</v>
      </c>
      <c r="R1626" s="633"/>
      <c r="T1626" s="634">
        <v>0</v>
      </c>
      <c r="U1626" s="634"/>
      <c r="V1626" s="634"/>
      <c r="Y1626" s="634">
        <v>289.72000000000003</v>
      </c>
      <c r="Z1626" s="634"/>
      <c r="AA1626" s="634"/>
      <c r="AB1626" s="634"/>
      <c r="AC1626" s="634"/>
      <c r="AD1626" s="634"/>
      <c r="AF1626" s="633">
        <v>-10605.69</v>
      </c>
      <c r="AG1626" s="633"/>
      <c r="AH1626" s="633"/>
      <c r="AI1626" s="633"/>
      <c r="AJ1626" s="633"/>
      <c r="AK1626" s="633"/>
      <c r="AL1626" s="633"/>
    </row>
    <row r="1627" spans="1:38" ht="11.1" customHeight="1" x14ac:dyDescent="0.25">
      <c r="A1627" s="630" t="s">
        <v>4846</v>
      </c>
      <c r="B1627" s="630"/>
      <c r="C1627" s="630"/>
      <c r="K1627" s="630" t="s">
        <v>2049</v>
      </c>
      <c r="L1627" s="630"/>
      <c r="M1627" s="630"/>
      <c r="N1627" s="630"/>
      <c r="O1627" s="630"/>
      <c r="P1627" s="630"/>
      <c r="Q1627" s="627">
        <v>-10315.969999999999</v>
      </c>
      <c r="R1627" s="627"/>
      <c r="T1627" s="631">
        <v>0</v>
      </c>
      <c r="U1627" s="631"/>
      <c r="V1627" s="631"/>
      <c r="Y1627" s="631">
        <v>289.72000000000003</v>
      </c>
      <c r="Z1627" s="631"/>
      <c r="AA1627" s="631"/>
      <c r="AB1627" s="631"/>
      <c r="AC1627" s="631"/>
      <c r="AD1627" s="631"/>
      <c r="AF1627" s="627">
        <v>-10605.69</v>
      </c>
      <c r="AG1627" s="627"/>
      <c r="AH1627" s="627"/>
      <c r="AI1627" s="627"/>
      <c r="AJ1627" s="627"/>
      <c r="AK1627" s="627"/>
      <c r="AL1627" s="627"/>
    </row>
    <row r="1628" spans="1:38" ht="11.1" customHeight="1" x14ac:dyDescent="0.25">
      <c r="A1628" s="630" t="s">
        <v>4847</v>
      </c>
      <c r="B1628" s="630"/>
      <c r="C1628" s="630"/>
      <c r="L1628" s="630" t="s">
        <v>302</v>
      </c>
      <c r="M1628" s="630"/>
      <c r="N1628" s="630"/>
      <c r="O1628" s="630"/>
      <c r="P1628" s="630"/>
      <c r="Q1628" s="627">
        <v>-10315.969999999999</v>
      </c>
      <c r="R1628" s="627"/>
      <c r="T1628" s="631">
        <v>0</v>
      </c>
      <c r="U1628" s="631"/>
      <c r="V1628" s="631"/>
      <c r="Y1628" s="631">
        <v>289.72000000000003</v>
      </c>
      <c r="Z1628" s="631"/>
      <c r="AA1628" s="631"/>
      <c r="AB1628" s="631"/>
      <c r="AC1628" s="631"/>
      <c r="AD1628" s="631"/>
      <c r="AF1628" s="627">
        <v>-10605.69</v>
      </c>
      <c r="AG1628" s="627"/>
      <c r="AH1628" s="627"/>
      <c r="AI1628" s="627"/>
      <c r="AJ1628" s="627"/>
      <c r="AK1628" s="627"/>
      <c r="AL1628" s="627"/>
    </row>
    <row r="1629" spans="1:38" ht="11.1" customHeight="1" x14ac:dyDescent="0.25">
      <c r="A1629" s="630" t="s">
        <v>4848</v>
      </c>
      <c r="B1629" s="630"/>
      <c r="C1629" s="630"/>
      <c r="M1629" s="630" t="s">
        <v>2053</v>
      </c>
      <c r="N1629" s="630"/>
      <c r="O1629" s="630"/>
      <c r="P1629" s="630"/>
      <c r="Q1629" s="627">
        <v>-10315.969999999999</v>
      </c>
      <c r="R1629" s="627"/>
      <c r="T1629" s="631">
        <v>0</v>
      </c>
      <c r="U1629" s="631"/>
      <c r="V1629" s="631"/>
      <c r="Y1629" s="631">
        <v>289.72000000000003</v>
      </c>
      <c r="Z1629" s="631"/>
      <c r="AA1629" s="631"/>
      <c r="AB1629" s="631"/>
      <c r="AC1629" s="631"/>
      <c r="AD1629" s="631"/>
      <c r="AF1629" s="627">
        <v>-10605.69</v>
      </c>
      <c r="AG1629" s="627"/>
      <c r="AH1629" s="627"/>
      <c r="AI1629" s="627"/>
      <c r="AJ1629" s="627"/>
      <c r="AK1629" s="627"/>
      <c r="AL1629" s="627"/>
    </row>
    <row r="1630" spans="1:38" ht="11.1" customHeight="1" x14ac:dyDescent="0.25">
      <c r="A1630" s="632" t="s">
        <v>4849</v>
      </c>
      <c r="B1630" s="632"/>
      <c r="C1630" s="632"/>
      <c r="J1630" s="632" t="s">
        <v>2055</v>
      </c>
      <c r="K1630" s="632"/>
      <c r="L1630" s="632"/>
      <c r="M1630" s="632"/>
      <c r="N1630" s="632"/>
      <c r="O1630" s="632"/>
      <c r="P1630" s="632"/>
      <c r="Q1630" s="633">
        <v>-5404673.7699999996</v>
      </c>
      <c r="R1630" s="633"/>
      <c r="T1630" s="634">
        <v>0</v>
      </c>
      <c r="U1630" s="634"/>
      <c r="V1630" s="634"/>
      <c r="Y1630" s="634">
        <v>0</v>
      </c>
      <c r="Z1630" s="634"/>
      <c r="AA1630" s="634"/>
      <c r="AB1630" s="634"/>
      <c r="AC1630" s="634"/>
      <c r="AD1630" s="634"/>
      <c r="AF1630" s="633">
        <v>-5404673.7699999996</v>
      </c>
      <c r="AG1630" s="633"/>
      <c r="AH1630" s="633"/>
      <c r="AI1630" s="633"/>
      <c r="AJ1630" s="633"/>
      <c r="AK1630" s="633"/>
      <c r="AL1630" s="633"/>
    </row>
    <row r="1631" spans="1:38" ht="11.1" customHeight="1" x14ac:dyDescent="0.25">
      <c r="A1631" s="630" t="s">
        <v>4850</v>
      </c>
      <c r="B1631" s="630"/>
      <c r="C1631" s="630"/>
      <c r="M1631" s="630" t="s">
        <v>1753</v>
      </c>
      <c r="N1631" s="630"/>
      <c r="O1631" s="630"/>
      <c r="P1631" s="630"/>
      <c r="Q1631" s="627">
        <v>-5404673.7699999996</v>
      </c>
      <c r="R1631" s="627"/>
      <c r="T1631" s="631">
        <v>0</v>
      </c>
      <c r="U1631" s="631"/>
      <c r="V1631" s="631"/>
      <c r="Y1631" s="631">
        <v>0</v>
      </c>
      <c r="Z1631" s="631"/>
      <c r="AA1631" s="631"/>
      <c r="AB1631" s="631"/>
      <c r="AC1631" s="631"/>
      <c r="AD1631" s="631"/>
      <c r="AF1631" s="627">
        <v>-5404673.7699999996</v>
      </c>
      <c r="AG1631" s="627"/>
      <c r="AH1631" s="627"/>
      <c r="AI1631" s="627"/>
      <c r="AJ1631" s="627"/>
      <c r="AK1631" s="627"/>
      <c r="AL1631" s="627"/>
    </row>
    <row r="1632" spans="1:38" ht="11.1" customHeight="1" x14ac:dyDescent="0.25">
      <c r="A1632" s="632" t="s">
        <v>4851</v>
      </c>
      <c r="B1632" s="632"/>
      <c r="C1632" s="632"/>
      <c r="J1632" s="632" t="s">
        <v>2058</v>
      </c>
      <c r="K1632" s="632"/>
      <c r="L1632" s="632"/>
      <c r="M1632" s="632"/>
      <c r="N1632" s="632"/>
      <c r="O1632" s="632"/>
      <c r="P1632" s="632"/>
      <c r="Q1632" s="633">
        <v>-30815.69</v>
      </c>
      <c r="R1632" s="633"/>
      <c r="T1632" s="634">
        <v>0</v>
      </c>
      <c r="U1632" s="634"/>
      <c r="V1632" s="634"/>
      <c r="Y1632" s="634">
        <v>0</v>
      </c>
      <c r="Z1632" s="634"/>
      <c r="AA1632" s="634"/>
      <c r="AB1632" s="634"/>
      <c r="AC1632" s="634"/>
      <c r="AD1632" s="634"/>
      <c r="AF1632" s="633">
        <v>-30815.69</v>
      </c>
      <c r="AG1632" s="633"/>
      <c r="AH1632" s="633"/>
      <c r="AI1632" s="633"/>
      <c r="AJ1632" s="633"/>
      <c r="AK1632" s="633"/>
      <c r="AL1632" s="633"/>
    </row>
    <row r="1633" spans="1:38" ht="11.1" customHeight="1" x14ac:dyDescent="0.25">
      <c r="A1633" s="630" t="s">
        <v>4852</v>
      </c>
      <c r="B1633" s="630"/>
      <c r="C1633" s="630"/>
      <c r="M1633" s="630" t="s">
        <v>1753</v>
      </c>
      <c r="N1633" s="630"/>
      <c r="O1633" s="630"/>
      <c r="P1633" s="630"/>
      <c r="Q1633" s="627">
        <v>-30815.69</v>
      </c>
      <c r="R1633" s="627"/>
      <c r="T1633" s="631">
        <v>0</v>
      </c>
      <c r="U1633" s="631"/>
      <c r="V1633" s="631"/>
      <c r="Y1633" s="631">
        <v>0</v>
      </c>
      <c r="Z1633" s="631"/>
      <c r="AA1633" s="631"/>
      <c r="AB1633" s="631"/>
      <c r="AC1633" s="631"/>
      <c r="AD1633" s="631"/>
      <c r="AF1633" s="627">
        <v>-30815.69</v>
      </c>
      <c r="AG1633" s="627"/>
      <c r="AH1633" s="627"/>
      <c r="AI1633" s="627"/>
      <c r="AJ1633" s="627"/>
      <c r="AK1633" s="627"/>
      <c r="AL1633" s="627"/>
    </row>
    <row r="1634" spans="1:38" ht="11.1" customHeight="1" x14ac:dyDescent="0.25">
      <c r="A1634" s="632" t="s">
        <v>4853</v>
      </c>
      <c r="B1634" s="632"/>
      <c r="C1634" s="632"/>
      <c r="J1634" s="632" t="s">
        <v>2061</v>
      </c>
      <c r="K1634" s="632"/>
      <c r="L1634" s="632"/>
      <c r="M1634" s="632"/>
      <c r="N1634" s="632"/>
      <c r="O1634" s="632"/>
      <c r="P1634" s="632"/>
      <c r="Q1634" s="633">
        <v>256703.47</v>
      </c>
      <c r="R1634" s="633"/>
      <c r="T1634" s="634">
        <v>0</v>
      </c>
      <c r="U1634" s="634"/>
      <c r="V1634" s="634"/>
      <c r="Y1634" s="634">
        <v>0</v>
      </c>
      <c r="Z1634" s="634"/>
      <c r="AA1634" s="634"/>
      <c r="AB1634" s="634"/>
      <c r="AC1634" s="634"/>
      <c r="AD1634" s="634"/>
      <c r="AF1634" s="633">
        <v>256703.47</v>
      </c>
      <c r="AG1634" s="633"/>
      <c r="AH1634" s="633"/>
      <c r="AI1634" s="633"/>
      <c r="AJ1634" s="633"/>
      <c r="AK1634" s="633"/>
      <c r="AL1634" s="633"/>
    </row>
    <row r="1635" spans="1:38" ht="11.1" customHeight="1" x14ac:dyDescent="0.25">
      <c r="A1635" s="630" t="s">
        <v>4854</v>
      </c>
      <c r="B1635" s="630"/>
      <c r="C1635" s="630"/>
      <c r="M1635" s="630" t="s">
        <v>1753</v>
      </c>
      <c r="N1635" s="630"/>
      <c r="O1635" s="630"/>
      <c r="P1635" s="630"/>
      <c r="Q1635" s="627">
        <v>256703.47</v>
      </c>
      <c r="R1635" s="627"/>
      <c r="T1635" s="631">
        <v>0</v>
      </c>
      <c r="U1635" s="631"/>
      <c r="V1635" s="631"/>
      <c r="Y1635" s="631">
        <v>0</v>
      </c>
      <c r="Z1635" s="631"/>
      <c r="AA1635" s="631"/>
      <c r="AB1635" s="631"/>
      <c r="AC1635" s="631"/>
      <c r="AD1635" s="631"/>
      <c r="AF1635" s="627">
        <v>256703.47</v>
      </c>
      <c r="AG1635" s="627"/>
      <c r="AH1635" s="627"/>
      <c r="AI1635" s="627"/>
      <c r="AJ1635" s="627"/>
      <c r="AK1635" s="627"/>
      <c r="AL1635" s="627"/>
    </row>
    <row r="1636" spans="1:38" ht="11.1" customHeight="1" x14ac:dyDescent="0.25">
      <c r="A1636" s="632" t="s">
        <v>4855</v>
      </c>
      <c r="B1636" s="632"/>
      <c r="C1636" s="632"/>
      <c r="J1636" s="632" t="s">
        <v>2064</v>
      </c>
      <c r="K1636" s="632"/>
      <c r="L1636" s="632"/>
      <c r="M1636" s="632"/>
      <c r="N1636" s="632"/>
      <c r="O1636" s="632"/>
      <c r="P1636" s="632"/>
      <c r="Q1636" s="633">
        <v>-0.09</v>
      </c>
      <c r="R1636" s="633"/>
      <c r="T1636" s="634">
        <v>0</v>
      </c>
      <c r="U1636" s="634"/>
      <c r="V1636" s="634"/>
      <c r="Y1636" s="634">
        <v>0</v>
      </c>
      <c r="Z1636" s="634"/>
      <c r="AA1636" s="634"/>
      <c r="AB1636" s="634"/>
      <c r="AC1636" s="634"/>
      <c r="AD1636" s="634"/>
      <c r="AF1636" s="633">
        <v>-0.09</v>
      </c>
      <c r="AG1636" s="633"/>
      <c r="AH1636" s="633"/>
      <c r="AI1636" s="633"/>
      <c r="AJ1636" s="633"/>
      <c r="AK1636" s="633"/>
      <c r="AL1636" s="633"/>
    </row>
    <row r="1637" spans="1:38" ht="11.1" customHeight="1" x14ac:dyDescent="0.25">
      <c r="A1637" s="630" t="s">
        <v>4856</v>
      </c>
      <c r="B1637" s="630"/>
      <c r="C1637" s="630"/>
      <c r="M1637" s="630" t="s">
        <v>1753</v>
      </c>
      <c r="N1637" s="630"/>
      <c r="O1637" s="630"/>
      <c r="P1637" s="630"/>
      <c r="Q1637" s="627">
        <v>-0.09</v>
      </c>
      <c r="R1637" s="627"/>
      <c r="T1637" s="631">
        <v>0</v>
      </c>
      <c r="U1637" s="631"/>
      <c r="V1637" s="631"/>
      <c r="Y1637" s="631">
        <v>0</v>
      </c>
      <c r="Z1637" s="631"/>
      <c r="AA1637" s="631"/>
      <c r="AB1637" s="631"/>
      <c r="AC1637" s="631"/>
      <c r="AD1637" s="631"/>
      <c r="AF1637" s="627">
        <v>-0.09</v>
      </c>
      <c r="AG1637" s="627"/>
      <c r="AH1637" s="627"/>
      <c r="AI1637" s="627"/>
      <c r="AJ1637" s="627"/>
      <c r="AK1637" s="627"/>
      <c r="AL1637" s="627"/>
    </row>
    <row r="1638" spans="1:38" ht="11.1" customHeight="1" x14ac:dyDescent="0.25">
      <c r="A1638" s="632" t="s">
        <v>4857</v>
      </c>
      <c r="B1638" s="632"/>
      <c r="C1638" s="632"/>
      <c r="J1638" s="632" t="s">
        <v>2066</v>
      </c>
      <c r="K1638" s="632"/>
      <c r="L1638" s="632"/>
      <c r="M1638" s="632"/>
      <c r="N1638" s="632"/>
      <c r="O1638" s="632"/>
      <c r="P1638" s="632"/>
      <c r="Q1638" s="633">
        <v>-346.56</v>
      </c>
      <c r="R1638" s="633"/>
      <c r="T1638" s="634">
        <v>0.01</v>
      </c>
      <c r="U1638" s="634"/>
      <c r="V1638" s="634"/>
      <c r="Y1638" s="634">
        <v>0</v>
      </c>
      <c r="Z1638" s="634"/>
      <c r="AA1638" s="634"/>
      <c r="AB1638" s="634"/>
      <c r="AC1638" s="634"/>
      <c r="AD1638" s="634"/>
      <c r="AF1638" s="633">
        <v>-346.55</v>
      </c>
      <c r="AG1638" s="633"/>
      <c r="AH1638" s="633"/>
      <c r="AI1638" s="633"/>
      <c r="AJ1638" s="633"/>
      <c r="AK1638" s="633"/>
      <c r="AL1638" s="633"/>
    </row>
    <row r="1639" spans="1:38" ht="11.1" customHeight="1" x14ac:dyDescent="0.25">
      <c r="A1639" s="630" t="s">
        <v>4858</v>
      </c>
      <c r="B1639" s="630"/>
      <c r="C1639" s="630"/>
      <c r="K1639" s="630" t="s">
        <v>2067</v>
      </c>
      <c r="L1639" s="630"/>
      <c r="M1639" s="630"/>
      <c r="N1639" s="630"/>
      <c r="O1639" s="630"/>
      <c r="P1639" s="630"/>
      <c r="Q1639" s="627">
        <v>-346.56</v>
      </c>
      <c r="R1639" s="627"/>
      <c r="T1639" s="631">
        <v>0.01</v>
      </c>
      <c r="U1639" s="631"/>
      <c r="V1639" s="631"/>
      <c r="Y1639" s="631">
        <v>0</v>
      </c>
      <c r="Z1639" s="631"/>
      <c r="AA1639" s="631"/>
      <c r="AB1639" s="631"/>
      <c r="AC1639" s="631"/>
      <c r="AD1639" s="631"/>
      <c r="AF1639" s="627">
        <v>-346.55</v>
      </c>
      <c r="AG1639" s="627"/>
      <c r="AH1639" s="627"/>
      <c r="AI1639" s="627"/>
      <c r="AJ1639" s="627"/>
      <c r="AK1639" s="627"/>
      <c r="AL1639" s="627"/>
    </row>
    <row r="1640" spans="1:38" ht="11.1" customHeight="1" x14ac:dyDescent="0.25">
      <c r="A1640" s="630" t="s">
        <v>4859</v>
      </c>
      <c r="B1640" s="630"/>
      <c r="C1640" s="630"/>
      <c r="L1640" s="630" t="s">
        <v>3033</v>
      </c>
      <c r="M1640" s="630"/>
      <c r="N1640" s="630"/>
      <c r="O1640" s="630"/>
      <c r="P1640" s="630"/>
      <c r="Q1640" s="627">
        <v>-346.56</v>
      </c>
      <c r="R1640" s="627"/>
      <c r="T1640" s="631">
        <v>0.01</v>
      </c>
      <c r="U1640" s="631"/>
      <c r="V1640" s="631"/>
      <c r="Y1640" s="631">
        <v>0</v>
      </c>
      <c r="Z1640" s="631"/>
      <c r="AA1640" s="631"/>
      <c r="AB1640" s="631"/>
      <c r="AC1640" s="631"/>
      <c r="AD1640" s="631"/>
      <c r="AF1640" s="627">
        <v>-346.55</v>
      </c>
      <c r="AG1640" s="627"/>
      <c r="AH1640" s="627"/>
      <c r="AI1640" s="627"/>
      <c r="AJ1640" s="627"/>
      <c r="AK1640" s="627"/>
      <c r="AL1640" s="627"/>
    </row>
    <row r="1641" spans="1:38" ht="11.1" customHeight="1" x14ac:dyDescent="0.25">
      <c r="A1641" s="630" t="s">
        <v>4860</v>
      </c>
      <c r="B1641" s="630"/>
      <c r="C1641" s="630"/>
      <c r="M1641" s="630" t="s">
        <v>2066</v>
      </c>
      <c r="N1641" s="630"/>
      <c r="O1641" s="630"/>
      <c r="P1641" s="630"/>
      <c r="Q1641" s="627">
        <v>-346.56</v>
      </c>
      <c r="R1641" s="627"/>
      <c r="T1641" s="631">
        <v>0.01</v>
      </c>
      <c r="U1641" s="631"/>
      <c r="V1641" s="631"/>
      <c r="Y1641" s="631">
        <v>0</v>
      </c>
      <c r="Z1641" s="631"/>
      <c r="AA1641" s="631"/>
      <c r="AB1641" s="631"/>
      <c r="AC1641" s="631"/>
      <c r="AD1641" s="631"/>
      <c r="AF1641" s="627">
        <v>-346.55</v>
      </c>
      <c r="AG1641" s="627"/>
      <c r="AH1641" s="627"/>
      <c r="AI1641" s="627"/>
      <c r="AJ1641" s="627"/>
      <c r="AK1641" s="627"/>
      <c r="AL1641" s="627"/>
    </row>
    <row r="1642" spans="1:38" ht="11.1" customHeight="1" x14ac:dyDescent="0.25">
      <c r="A1642" s="632" t="s">
        <v>4861</v>
      </c>
      <c r="B1642" s="632"/>
      <c r="C1642" s="632"/>
      <c r="I1642" s="632" t="s">
        <v>1804</v>
      </c>
      <c r="J1642" s="632"/>
      <c r="K1642" s="632"/>
      <c r="L1642" s="632"/>
      <c r="M1642" s="632"/>
      <c r="N1642" s="632"/>
      <c r="O1642" s="632"/>
      <c r="P1642" s="632"/>
      <c r="Q1642" s="633">
        <v>0</v>
      </c>
      <c r="R1642" s="633"/>
      <c r="T1642" s="634">
        <v>20388.28</v>
      </c>
      <c r="U1642" s="634"/>
      <c r="V1642" s="634"/>
      <c r="Y1642" s="634">
        <v>435631.68</v>
      </c>
      <c r="Z1642" s="634"/>
      <c r="AA1642" s="634"/>
      <c r="AB1642" s="634"/>
      <c r="AC1642" s="634"/>
      <c r="AD1642" s="634"/>
      <c r="AF1642" s="633">
        <v>-415243.4</v>
      </c>
      <c r="AG1642" s="633"/>
      <c r="AH1642" s="633"/>
      <c r="AI1642" s="633"/>
      <c r="AJ1642" s="633"/>
      <c r="AK1642" s="633"/>
      <c r="AL1642" s="633"/>
    </row>
    <row r="1643" spans="1:38" ht="11.1" customHeight="1" x14ac:dyDescent="0.25">
      <c r="A1643" s="632" t="s">
        <v>4862</v>
      </c>
      <c r="B1643" s="632"/>
      <c r="C1643" s="632"/>
      <c r="J1643" s="632" t="s">
        <v>2049</v>
      </c>
      <c r="K1643" s="632"/>
      <c r="L1643" s="632"/>
      <c r="M1643" s="632"/>
      <c r="N1643" s="632"/>
      <c r="O1643" s="632"/>
      <c r="P1643" s="632"/>
      <c r="Q1643" s="633">
        <v>-5404673.7699999996</v>
      </c>
      <c r="R1643" s="633"/>
      <c r="T1643" s="634">
        <v>0</v>
      </c>
      <c r="U1643" s="634"/>
      <c r="V1643" s="634"/>
      <c r="Y1643" s="634">
        <v>417486.69</v>
      </c>
      <c r="Z1643" s="634"/>
      <c r="AA1643" s="634"/>
      <c r="AB1643" s="634"/>
      <c r="AC1643" s="634"/>
      <c r="AD1643" s="634"/>
      <c r="AF1643" s="633">
        <v>-5822160.46</v>
      </c>
      <c r="AG1643" s="633"/>
      <c r="AH1643" s="633"/>
      <c r="AI1643" s="633"/>
      <c r="AJ1643" s="633"/>
      <c r="AK1643" s="633"/>
      <c r="AL1643" s="633"/>
    </row>
    <row r="1644" spans="1:38" ht="11.1" customHeight="1" x14ac:dyDescent="0.25">
      <c r="A1644" s="630" t="s">
        <v>4863</v>
      </c>
      <c r="B1644" s="630"/>
      <c r="C1644" s="630"/>
      <c r="L1644" s="630" t="s">
        <v>335</v>
      </c>
      <c r="M1644" s="630"/>
      <c r="N1644" s="630"/>
      <c r="O1644" s="630"/>
      <c r="P1644" s="630"/>
      <c r="Q1644" s="627">
        <v>-5404673.7699999996</v>
      </c>
      <c r="R1644" s="627"/>
      <c r="T1644" s="631">
        <v>0</v>
      </c>
      <c r="U1644" s="631"/>
      <c r="V1644" s="631"/>
      <c r="Y1644" s="631">
        <v>417486.69</v>
      </c>
      <c r="Z1644" s="631"/>
      <c r="AA1644" s="631"/>
      <c r="AB1644" s="631"/>
      <c r="AC1644" s="631"/>
      <c r="AD1644" s="631"/>
      <c r="AF1644" s="627">
        <v>-5822160.46</v>
      </c>
      <c r="AG1644" s="627"/>
      <c r="AH1644" s="627"/>
      <c r="AI1644" s="627"/>
      <c r="AJ1644" s="627"/>
      <c r="AK1644" s="627"/>
      <c r="AL1644" s="627"/>
    </row>
    <row r="1645" spans="1:38" ht="11.1" customHeight="1" x14ac:dyDescent="0.25">
      <c r="A1645" s="630" t="s">
        <v>4864</v>
      </c>
      <c r="B1645" s="630"/>
      <c r="C1645" s="630"/>
      <c r="M1645" s="630" t="s">
        <v>2053</v>
      </c>
      <c r="N1645" s="630"/>
      <c r="O1645" s="630"/>
      <c r="P1645" s="630"/>
      <c r="Q1645" s="627">
        <v>-5404673.7699999996</v>
      </c>
      <c r="R1645" s="627"/>
      <c r="T1645" s="631">
        <v>0</v>
      </c>
      <c r="U1645" s="631"/>
      <c r="V1645" s="631"/>
      <c r="Y1645" s="631">
        <v>417486.69</v>
      </c>
      <c r="Z1645" s="631"/>
      <c r="AA1645" s="631"/>
      <c r="AB1645" s="631"/>
      <c r="AC1645" s="631"/>
      <c r="AD1645" s="631"/>
      <c r="AF1645" s="627">
        <v>-5822160.46</v>
      </c>
      <c r="AG1645" s="627"/>
      <c r="AH1645" s="627"/>
      <c r="AI1645" s="627"/>
      <c r="AJ1645" s="627"/>
      <c r="AK1645" s="627"/>
      <c r="AL1645" s="627"/>
    </row>
    <row r="1646" spans="1:38" ht="11.1" customHeight="1" x14ac:dyDescent="0.25">
      <c r="A1646" s="632" t="s">
        <v>4865</v>
      </c>
      <c r="B1646" s="632"/>
      <c r="C1646" s="632"/>
      <c r="J1646" s="632" t="s">
        <v>2073</v>
      </c>
      <c r="K1646" s="632"/>
      <c r="L1646" s="632"/>
      <c r="M1646" s="632"/>
      <c r="N1646" s="632"/>
      <c r="O1646" s="632"/>
      <c r="P1646" s="632"/>
      <c r="Q1646" s="633">
        <v>-30815.69</v>
      </c>
      <c r="R1646" s="633"/>
      <c r="T1646" s="634">
        <v>0</v>
      </c>
      <c r="U1646" s="634"/>
      <c r="V1646" s="634"/>
      <c r="Y1646" s="634">
        <v>0</v>
      </c>
      <c r="Z1646" s="634"/>
      <c r="AA1646" s="634"/>
      <c r="AB1646" s="634"/>
      <c r="AC1646" s="634"/>
      <c r="AD1646" s="634"/>
      <c r="AF1646" s="633">
        <v>-30815.69</v>
      </c>
      <c r="AG1646" s="633"/>
      <c r="AH1646" s="633"/>
      <c r="AI1646" s="633"/>
      <c r="AJ1646" s="633"/>
      <c r="AK1646" s="633"/>
      <c r="AL1646" s="633"/>
    </row>
    <row r="1647" spans="1:38" ht="11.1" customHeight="1" x14ac:dyDescent="0.25">
      <c r="A1647" s="630" t="s">
        <v>4866</v>
      </c>
      <c r="B1647" s="630"/>
      <c r="C1647" s="630"/>
      <c r="L1647" s="630" t="s">
        <v>335</v>
      </c>
      <c r="M1647" s="630"/>
      <c r="N1647" s="630"/>
      <c r="O1647" s="630"/>
      <c r="P1647" s="630"/>
      <c r="Q1647" s="627">
        <v>-30815.69</v>
      </c>
      <c r="R1647" s="627"/>
      <c r="T1647" s="631">
        <v>0</v>
      </c>
      <c r="U1647" s="631"/>
      <c r="V1647" s="631"/>
      <c r="Y1647" s="631">
        <v>0</v>
      </c>
      <c r="Z1647" s="631"/>
      <c r="AA1647" s="631"/>
      <c r="AB1647" s="631"/>
      <c r="AC1647" s="631"/>
      <c r="AD1647" s="631"/>
      <c r="AF1647" s="627">
        <v>-30815.69</v>
      </c>
      <c r="AG1647" s="627"/>
      <c r="AH1647" s="627"/>
      <c r="AI1647" s="627"/>
      <c r="AJ1647" s="627"/>
      <c r="AK1647" s="627"/>
      <c r="AL1647" s="627"/>
    </row>
    <row r="1648" spans="1:38" ht="11.1" customHeight="1" x14ac:dyDescent="0.25">
      <c r="A1648" s="630" t="s">
        <v>4867</v>
      </c>
      <c r="B1648" s="630"/>
      <c r="C1648" s="630"/>
      <c r="M1648" s="630" t="s">
        <v>2076</v>
      </c>
      <c r="N1648" s="630"/>
      <c r="O1648" s="630"/>
      <c r="P1648" s="630"/>
      <c r="Q1648" s="627">
        <v>-30815.69</v>
      </c>
      <c r="R1648" s="627"/>
      <c r="T1648" s="631">
        <v>0</v>
      </c>
      <c r="U1648" s="631"/>
      <c r="V1648" s="631"/>
      <c r="Y1648" s="631">
        <v>0</v>
      </c>
      <c r="Z1648" s="631"/>
      <c r="AA1648" s="631"/>
      <c r="AB1648" s="631"/>
      <c r="AC1648" s="631"/>
      <c r="AD1648" s="631"/>
      <c r="AF1648" s="627">
        <v>-30815.69</v>
      </c>
      <c r="AG1648" s="627"/>
      <c r="AH1648" s="627"/>
      <c r="AI1648" s="627"/>
      <c r="AJ1648" s="627"/>
      <c r="AK1648" s="627"/>
      <c r="AL1648" s="627"/>
    </row>
    <row r="1649" spans="1:38" ht="11.1" customHeight="1" x14ac:dyDescent="0.25">
      <c r="A1649" s="632" t="s">
        <v>4868</v>
      </c>
      <c r="B1649" s="632"/>
      <c r="C1649" s="632"/>
      <c r="J1649" s="632" t="s">
        <v>2078</v>
      </c>
      <c r="K1649" s="632"/>
      <c r="L1649" s="632"/>
      <c r="M1649" s="632"/>
      <c r="N1649" s="632"/>
      <c r="O1649" s="632"/>
      <c r="P1649" s="632"/>
      <c r="Q1649" s="633">
        <v>256703.47</v>
      </c>
      <c r="R1649" s="633"/>
      <c r="T1649" s="634">
        <v>20388.28</v>
      </c>
      <c r="U1649" s="634"/>
      <c r="V1649" s="634"/>
      <c r="Y1649" s="634">
        <v>0</v>
      </c>
      <c r="Z1649" s="634"/>
      <c r="AA1649" s="634"/>
      <c r="AB1649" s="634"/>
      <c r="AC1649" s="634"/>
      <c r="AD1649" s="634"/>
      <c r="AF1649" s="633">
        <v>277091.75</v>
      </c>
      <c r="AG1649" s="633"/>
      <c r="AH1649" s="633"/>
      <c r="AI1649" s="633"/>
      <c r="AJ1649" s="633"/>
      <c r="AK1649" s="633"/>
      <c r="AL1649" s="633"/>
    </row>
    <row r="1650" spans="1:38" ht="11.1" customHeight="1" x14ac:dyDescent="0.25">
      <c r="A1650" s="630" t="s">
        <v>4869</v>
      </c>
      <c r="B1650" s="630"/>
      <c r="C1650" s="630"/>
      <c r="K1650" s="630" t="s">
        <v>2078</v>
      </c>
      <c r="L1650" s="630"/>
      <c r="M1650" s="630"/>
      <c r="N1650" s="630"/>
      <c r="O1650" s="630"/>
      <c r="P1650" s="630"/>
      <c r="Q1650" s="627">
        <v>256703.47</v>
      </c>
      <c r="R1650" s="627"/>
      <c r="T1650" s="631">
        <v>20388.28</v>
      </c>
      <c r="U1650" s="631"/>
      <c r="V1650" s="631"/>
      <c r="Y1650" s="631">
        <v>0</v>
      </c>
      <c r="Z1650" s="631"/>
      <c r="AA1650" s="631"/>
      <c r="AB1650" s="631"/>
      <c r="AC1650" s="631"/>
      <c r="AD1650" s="631"/>
      <c r="AF1650" s="627">
        <v>277091.75</v>
      </c>
      <c r="AG1650" s="627"/>
      <c r="AH1650" s="627"/>
      <c r="AI1650" s="627"/>
      <c r="AJ1650" s="627"/>
      <c r="AK1650" s="627"/>
      <c r="AL1650" s="627"/>
    </row>
    <row r="1651" spans="1:38" ht="11.1" customHeight="1" x14ac:dyDescent="0.25">
      <c r="A1651" s="630" t="s">
        <v>4870</v>
      </c>
      <c r="B1651" s="630"/>
      <c r="C1651" s="630"/>
      <c r="L1651" s="630" t="s">
        <v>335</v>
      </c>
      <c r="M1651" s="630"/>
      <c r="N1651" s="630"/>
      <c r="O1651" s="630"/>
      <c r="P1651" s="630"/>
      <c r="Q1651" s="627">
        <v>256703.47</v>
      </c>
      <c r="R1651" s="627"/>
      <c r="T1651" s="631">
        <v>20388.28</v>
      </c>
      <c r="U1651" s="631"/>
      <c r="V1651" s="631"/>
      <c r="Y1651" s="631">
        <v>0</v>
      </c>
      <c r="Z1651" s="631"/>
      <c r="AA1651" s="631"/>
      <c r="AB1651" s="631"/>
      <c r="AC1651" s="631"/>
      <c r="AD1651" s="631"/>
      <c r="AF1651" s="627">
        <v>277091.75</v>
      </c>
      <c r="AG1651" s="627"/>
      <c r="AH1651" s="627"/>
      <c r="AI1651" s="627"/>
      <c r="AJ1651" s="627"/>
      <c r="AK1651" s="627"/>
      <c r="AL1651" s="627"/>
    </row>
    <row r="1652" spans="1:38" ht="11.1" customHeight="1" x14ac:dyDescent="0.25">
      <c r="A1652" s="630" t="s">
        <v>4871</v>
      </c>
      <c r="B1652" s="630"/>
      <c r="C1652" s="630"/>
      <c r="M1652" s="630" t="s">
        <v>445</v>
      </c>
      <c r="N1652" s="630"/>
      <c r="O1652" s="630"/>
      <c r="P1652" s="630"/>
      <c r="Q1652" s="627">
        <v>35448.639999999999</v>
      </c>
      <c r="R1652" s="627"/>
      <c r="T1652" s="631">
        <v>2833.49</v>
      </c>
      <c r="U1652" s="631"/>
      <c r="V1652" s="631"/>
      <c r="Y1652" s="631">
        <v>0</v>
      </c>
      <c r="Z1652" s="631"/>
      <c r="AA1652" s="631"/>
      <c r="AB1652" s="631"/>
      <c r="AC1652" s="631"/>
      <c r="AD1652" s="631"/>
      <c r="AF1652" s="627">
        <v>38282.129999999997</v>
      </c>
      <c r="AG1652" s="627"/>
      <c r="AH1652" s="627"/>
      <c r="AI1652" s="627"/>
      <c r="AJ1652" s="627"/>
      <c r="AK1652" s="627"/>
      <c r="AL1652" s="627"/>
    </row>
    <row r="1653" spans="1:38" ht="11.1" customHeight="1" x14ac:dyDescent="0.25">
      <c r="A1653" s="630" t="s">
        <v>4872</v>
      </c>
      <c r="B1653" s="630"/>
      <c r="C1653" s="630"/>
      <c r="M1653" s="630" t="s">
        <v>216</v>
      </c>
      <c r="N1653" s="630"/>
      <c r="O1653" s="630"/>
      <c r="P1653" s="630"/>
      <c r="Q1653" s="627">
        <v>218145.41</v>
      </c>
      <c r="R1653" s="627"/>
      <c r="T1653" s="631">
        <v>17436.86</v>
      </c>
      <c r="U1653" s="631"/>
      <c r="V1653" s="631"/>
      <c r="Y1653" s="631">
        <v>0</v>
      </c>
      <c r="Z1653" s="631"/>
      <c r="AA1653" s="631"/>
      <c r="AB1653" s="631"/>
      <c r="AC1653" s="631"/>
      <c r="AD1653" s="631"/>
      <c r="AF1653" s="627">
        <v>235582.27</v>
      </c>
      <c r="AG1653" s="627"/>
      <c r="AH1653" s="627"/>
      <c r="AI1653" s="627"/>
      <c r="AJ1653" s="627"/>
      <c r="AK1653" s="627"/>
      <c r="AL1653" s="627"/>
    </row>
    <row r="1654" spans="1:38" ht="11.1" customHeight="1" x14ac:dyDescent="0.25">
      <c r="A1654" s="630" t="s">
        <v>4873</v>
      </c>
      <c r="B1654" s="630"/>
      <c r="C1654" s="630"/>
      <c r="M1654" s="630" t="s">
        <v>2084</v>
      </c>
      <c r="N1654" s="630"/>
      <c r="O1654" s="630"/>
      <c r="P1654" s="630"/>
      <c r="Q1654" s="627">
        <v>3109.42</v>
      </c>
      <c r="R1654" s="627"/>
      <c r="T1654" s="631">
        <v>117.93</v>
      </c>
      <c r="U1654" s="631"/>
      <c r="V1654" s="631"/>
      <c r="Y1654" s="631">
        <v>0</v>
      </c>
      <c r="Z1654" s="631"/>
      <c r="AA1654" s="631"/>
      <c r="AB1654" s="631"/>
      <c r="AC1654" s="631"/>
      <c r="AD1654" s="631"/>
      <c r="AF1654" s="627">
        <v>3227.35</v>
      </c>
      <c r="AG1654" s="627"/>
      <c r="AH1654" s="627"/>
      <c r="AI1654" s="627"/>
      <c r="AJ1654" s="627"/>
      <c r="AK1654" s="627"/>
      <c r="AL1654" s="627"/>
    </row>
    <row r="1655" spans="1:38" ht="11.1" customHeight="1" x14ac:dyDescent="0.25">
      <c r="A1655" s="632" t="s">
        <v>4874</v>
      </c>
      <c r="B1655" s="632"/>
      <c r="C1655" s="632"/>
      <c r="J1655" s="632" t="s">
        <v>2086</v>
      </c>
      <c r="K1655" s="632"/>
      <c r="L1655" s="632"/>
      <c r="M1655" s="632"/>
      <c r="N1655" s="632"/>
      <c r="O1655" s="632"/>
      <c r="P1655" s="632"/>
      <c r="Q1655" s="633">
        <v>5404673.7699999996</v>
      </c>
      <c r="R1655" s="633"/>
      <c r="T1655" s="634">
        <v>0</v>
      </c>
      <c r="U1655" s="634"/>
      <c r="V1655" s="634"/>
      <c r="Y1655" s="634">
        <v>0</v>
      </c>
      <c r="Z1655" s="634"/>
      <c r="AA1655" s="634"/>
      <c r="AB1655" s="634"/>
      <c r="AC1655" s="634"/>
      <c r="AD1655" s="634"/>
      <c r="AF1655" s="633">
        <v>5404673.7699999996</v>
      </c>
      <c r="AG1655" s="633"/>
      <c r="AH1655" s="633"/>
      <c r="AI1655" s="633"/>
      <c r="AJ1655" s="633"/>
      <c r="AK1655" s="633"/>
      <c r="AL1655" s="633"/>
    </row>
    <row r="1656" spans="1:38" ht="11.1" customHeight="1" x14ac:dyDescent="0.25">
      <c r="A1656" s="630" t="s">
        <v>4875</v>
      </c>
      <c r="B1656" s="630"/>
      <c r="C1656" s="630"/>
      <c r="K1656" s="630" t="s">
        <v>581</v>
      </c>
      <c r="L1656" s="630"/>
      <c r="M1656" s="630"/>
      <c r="N1656" s="630"/>
      <c r="O1656" s="630"/>
      <c r="P1656" s="630"/>
      <c r="Q1656" s="627">
        <v>5404673.7699999996</v>
      </c>
      <c r="R1656" s="627"/>
      <c r="T1656" s="631">
        <v>0</v>
      </c>
      <c r="U1656" s="631"/>
      <c r="V1656" s="631"/>
      <c r="Y1656" s="631">
        <v>0</v>
      </c>
      <c r="Z1656" s="631"/>
      <c r="AA1656" s="631"/>
      <c r="AB1656" s="631"/>
      <c r="AC1656" s="631"/>
      <c r="AD1656" s="631"/>
      <c r="AF1656" s="627">
        <v>5404673.7699999996</v>
      </c>
      <c r="AG1656" s="627"/>
      <c r="AH1656" s="627"/>
      <c r="AI1656" s="627"/>
      <c r="AJ1656" s="627"/>
      <c r="AK1656" s="627"/>
      <c r="AL1656" s="627"/>
    </row>
    <row r="1657" spans="1:38" ht="11.1" customHeight="1" x14ac:dyDescent="0.25">
      <c r="A1657" s="630" t="s">
        <v>4876</v>
      </c>
      <c r="B1657" s="630"/>
      <c r="C1657" s="630"/>
      <c r="M1657" s="630" t="s">
        <v>2089</v>
      </c>
      <c r="N1657" s="630"/>
      <c r="O1657" s="630"/>
      <c r="P1657" s="630"/>
      <c r="Q1657" s="627">
        <v>5404673.7699999996</v>
      </c>
      <c r="R1657" s="627"/>
      <c r="T1657" s="631">
        <v>0</v>
      </c>
      <c r="U1657" s="631"/>
      <c r="V1657" s="631"/>
      <c r="Y1657" s="631">
        <v>0</v>
      </c>
      <c r="Z1657" s="631"/>
      <c r="AA1657" s="631"/>
      <c r="AB1657" s="631"/>
      <c r="AC1657" s="631"/>
      <c r="AD1657" s="631"/>
      <c r="AF1657" s="627">
        <v>5404673.7699999996</v>
      </c>
      <c r="AG1657" s="627"/>
      <c r="AH1657" s="627"/>
      <c r="AI1657" s="627"/>
      <c r="AJ1657" s="627"/>
      <c r="AK1657" s="627"/>
      <c r="AL1657" s="627"/>
    </row>
    <row r="1658" spans="1:38" ht="11.1" customHeight="1" x14ac:dyDescent="0.25">
      <c r="A1658" s="632" t="s">
        <v>4877</v>
      </c>
      <c r="B1658" s="632"/>
      <c r="C1658" s="632"/>
      <c r="J1658" s="632" t="s">
        <v>2091</v>
      </c>
      <c r="K1658" s="632"/>
      <c r="L1658" s="632"/>
      <c r="M1658" s="632"/>
      <c r="N1658" s="632"/>
      <c r="O1658" s="632"/>
      <c r="P1658" s="632"/>
      <c r="Q1658" s="633">
        <v>30815.69</v>
      </c>
      <c r="R1658" s="633"/>
      <c r="T1658" s="634">
        <v>0</v>
      </c>
      <c r="U1658" s="634"/>
      <c r="V1658" s="634"/>
      <c r="Y1658" s="634">
        <v>0</v>
      </c>
      <c r="Z1658" s="634"/>
      <c r="AA1658" s="634"/>
      <c r="AB1658" s="634"/>
      <c r="AC1658" s="634"/>
      <c r="AD1658" s="634"/>
      <c r="AF1658" s="633">
        <v>30815.69</v>
      </c>
      <c r="AG1658" s="633"/>
      <c r="AH1658" s="633"/>
      <c r="AI1658" s="633"/>
      <c r="AJ1658" s="633"/>
      <c r="AK1658" s="633"/>
      <c r="AL1658" s="633"/>
    </row>
    <row r="1659" spans="1:38" ht="11.1" customHeight="1" x14ac:dyDescent="0.25">
      <c r="A1659" s="630" t="s">
        <v>4878</v>
      </c>
      <c r="B1659" s="630"/>
      <c r="C1659" s="630"/>
      <c r="K1659" s="630" t="s">
        <v>581</v>
      </c>
      <c r="L1659" s="630"/>
      <c r="M1659" s="630"/>
      <c r="N1659" s="630"/>
      <c r="O1659" s="630"/>
      <c r="P1659" s="630"/>
      <c r="Q1659" s="627">
        <v>30815.69</v>
      </c>
      <c r="R1659" s="627"/>
      <c r="T1659" s="631">
        <v>0</v>
      </c>
      <c r="U1659" s="631"/>
      <c r="V1659" s="631"/>
      <c r="Y1659" s="631">
        <v>0</v>
      </c>
      <c r="Z1659" s="631"/>
      <c r="AA1659" s="631"/>
      <c r="AB1659" s="631"/>
      <c r="AC1659" s="631"/>
      <c r="AD1659" s="631"/>
      <c r="AF1659" s="627">
        <v>30815.69</v>
      </c>
      <c r="AG1659" s="627"/>
      <c r="AH1659" s="627"/>
      <c r="AI1659" s="627"/>
      <c r="AJ1659" s="627"/>
      <c r="AK1659" s="627"/>
      <c r="AL1659" s="627"/>
    </row>
    <row r="1660" spans="1:38" ht="11.1" customHeight="1" x14ac:dyDescent="0.25">
      <c r="A1660" s="630" t="s">
        <v>4879</v>
      </c>
      <c r="B1660" s="630"/>
      <c r="C1660" s="630"/>
      <c r="M1660" s="630" t="s">
        <v>2089</v>
      </c>
      <c r="N1660" s="630"/>
      <c r="O1660" s="630"/>
      <c r="P1660" s="630"/>
      <c r="Q1660" s="627">
        <v>30815.69</v>
      </c>
      <c r="R1660" s="627"/>
      <c r="T1660" s="631">
        <v>0</v>
      </c>
      <c r="U1660" s="631"/>
      <c r="V1660" s="631"/>
      <c r="Y1660" s="631">
        <v>0</v>
      </c>
      <c r="Z1660" s="631"/>
      <c r="AA1660" s="631"/>
      <c r="AB1660" s="631"/>
      <c r="AC1660" s="631"/>
      <c r="AD1660" s="631"/>
      <c r="AF1660" s="627">
        <v>30815.69</v>
      </c>
      <c r="AG1660" s="627"/>
      <c r="AH1660" s="627"/>
      <c r="AI1660" s="627"/>
      <c r="AJ1660" s="627"/>
      <c r="AK1660" s="627"/>
      <c r="AL1660" s="627"/>
    </row>
    <row r="1661" spans="1:38" ht="11.1" customHeight="1" x14ac:dyDescent="0.25">
      <c r="A1661" s="632" t="s">
        <v>4880</v>
      </c>
      <c r="B1661" s="632"/>
      <c r="C1661" s="632"/>
      <c r="J1661" s="632" t="s">
        <v>2095</v>
      </c>
      <c r="K1661" s="632"/>
      <c r="L1661" s="632"/>
      <c r="M1661" s="632"/>
      <c r="N1661" s="632"/>
      <c r="O1661" s="632"/>
      <c r="P1661" s="632"/>
      <c r="Q1661" s="633">
        <v>-256703.47</v>
      </c>
      <c r="R1661" s="633"/>
      <c r="T1661" s="634">
        <v>0</v>
      </c>
      <c r="U1661" s="634"/>
      <c r="V1661" s="634"/>
      <c r="Y1661" s="634">
        <v>0</v>
      </c>
      <c r="Z1661" s="634"/>
      <c r="AA1661" s="634"/>
      <c r="AB1661" s="634"/>
      <c r="AC1661" s="634"/>
      <c r="AD1661" s="634"/>
      <c r="AF1661" s="633">
        <v>-256703.47</v>
      </c>
      <c r="AG1661" s="633"/>
      <c r="AH1661" s="633"/>
      <c r="AI1661" s="633"/>
      <c r="AJ1661" s="633"/>
      <c r="AK1661" s="633"/>
      <c r="AL1661" s="633"/>
    </row>
    <row r="1662" spans="1:38" ht="11.1" customHeight="1" x14ac:dyDescent="0.25">
      <c r="A1662" s="630" t="s">
        <v>4881</v>
      </c>
      <c r="B1662" s="630"/>
      <c r="C1662" s="630"/>
      <c r="K1662" s="630" t="s">
        <v>581</v>
      </c>
      <c r="L1662" s="630"/>
      <c r="M1662" s="630"/>
      <c r="N1662" s="630"/>
      <c r="O1662" s="630"/>
      <c r="P1662" s="630"/>
      <c r="Q1662" s="627">
        <v>-256703.47</v>
      </c>
      <c r="R1662" s="627"/>
      <c r="T1662" s="631">
        <v>0</v>
      </c>
      <c r="U1662" s="631"/>
      <c r="V1662" s="631"/>
      <c r="Y1662" s="631">
        <v>0</v>
      </c>
      <c r="Z1662" s="631"/>
      <c r="AA1662" s="631"/>
      <c r="AB1662" s="631"/>
      <c r="AC1662" s="631"/>
      <c r="AD1662" s="631"/>
      <c r="AF1662" s="627">
        <v>-256703.47</v>
      </c>
      <c r="AG1662" s="627"/>
      <c r="AH1662" s="627"/>
      <c r="AI1662" s="627"/>
      <c r="AJ1662" s="627"/>
      <c r="AK1662" s="627"/>
      <c r="AL1662" s="627"/>
    </row>
    <row r="1663" spans="1:38" ht="11.1" customHeight="1" x14ac:dyDescent="0.25">
      <c r="A1663" s="630" t="s">
        <v>4882</v>
      </c>
      <c r="B1663" s="630"/>
      <c r="C1663" s="630"/>
      <c r="M1663" s="630" t="s">
        <v>2089</v>
      </c>
      <c r="N1663" s="630"/>
      <c r="O1663" s="630"/>
      <c r="P1663" s="630"/>
      <c r="Q1663" s="627">
        <v>-256703.47</v>
      </c>
      <c r="R1663" s="627"/>
      <c r="T1663" s="631">
        <v>0</v>
      </c>
      <c r="U1663" s="631"/>
      <c r="V1663" s="631"/>
      <c r="Y1663" s="631">
        <v>0</v>
      </c>
      <c r="Z1663" s="631"/>
      <c r="AA1663" s="631"/>
      <c r="AB1663" s="631"/>
      <c r="AC1663" s="631"/>
      <c r="AD1663" s="631"/>
      <c r="AF1663" s="627">
        <v>-256703.47</v>
      </c>
      <c r="AG1663" s="627"/>
      <c r="AH1663" s="627"/>
      <c r="AI1663" s="627"/>
      <c r="AJ1663" s="627"/>
      <c r="AK1663" s="627"/>
      <c r="AL1663" s="627"/>
    </row>
    <row r="1664" spans="1:38" ht="11.1" customHeight="1" x14ac:dyDescent="0.25">
      <c r="A1664" s="632" t="s">
        <v>4883</v>
      </c>
      <c r="B1664" s="632"/>
      <c r="C1664" s="632"/>
      <c r="J1664" s="632" t="s">
        <v>2099</v>
      </c>
      <c r="K1664" s="632"/>
      <c r="L1664" s="632"/>
      <c r="M1664" s="632"/>
      <c r="N1664" s="632"/>
      <c r="O1664" s="632"/>
      <c r="P1664" s="632"/>
      <c r="Q1664" s="633">
        <v>0.09</v>
      </c>
      <c r="R1664" s="633"/>
      <c r="T1664" s="634">
        <v>0</v>
      </c>
      <c r="U1664" s="634"/>
      <c r="V1664" s="634"/>
      <c r="Y1664" s="634">
        <v>0</v>
      </c>
      <c r="Z1664" s="634"/>
      <c r="AA1664" s="634"/>
      <c r="AB1664" s="634"/>
      <c r="AC1664" s="634"/>
      <c r="AD1664" s="634"/>
      <c r="AF1664" s="633">
        <v>0.09</v>
      </c>
      <c r="AG1664" s="633"/>
      <c r="AH1664" s="633"/>
      <c r="AI1664" s="633"/>
      <c r="AJ1664" s="633"/>
      <c r="AK1664" s="633"/>
      <c r="AL1664" s="633"/>
    </row>
    <row r="1665" spans="1:39" ht="11.1" customHeight="1" x14ac:dyDescent="0.25">
      <c r="A1665" s="630" t="s">
        <v>4884</v>
      </c>
      <c r="B1665" s="630"/>
      <c r="C1665" s="630"/>
      <c r="K1665" s="630" t="s">
        <v>581</v>
      </c>
      <c r="L1665" s="630"/>
      <c r="M1665" s="630"/>
      <c r="N1665" s="630"/>
      <c r="O1665" s="630"/>
      <c r="P1665" s="630"/>
      <c r="Q1665" s="627">
        <v>0.09</v>
      </c>
      <c r="R1665" s="627"/>
      <c r="T1665" s="631">
        <v>0</v>
      </c>
      <c r="U1665" s="631"/>
      <c r="V1665" s="631"/>
      <c r="Y1665" s="631">
        <v>0</v>
      </c>
      <c r="Z1665" s="631"/>
      <c r="AA1665" s="631"/>
      <c r="AB1665" s="631"/>
      <c r="AC1665" s="631"/>
      <c r="AD1665" s="631"/>
      <c r="AF1665" s="627">
        <v>0.09</v>
      </c>
      <c r="AG1665" s="627"/>
      <c r="AH1665" s="627"/>
      <c r="AI1665" s="627"/>
      <c r="AJ1665" s="627"/>
      <c r="AK1665" s="627"/>
      <c r="AL1665" s="627"/>
    </row>
    <row r="1666" spans="1:39" ht="11.1" customHeight="1" x14ac:dyDescent="0.25">
      <c r="A1666" s="630" t="s">
        <v>4885</v>
      </c>
      <c r="B1666" s="630"/>
      <c r="C1666" s="630"/>
      <c r="M1666" s="630" t="s">
        <v>2089</v>
      </c>
      <c r="N1666" s="630"/>
      <c r="O1666" s="630"/>
      <c r="P1666" s="630"/>
      <c r="Q1666" s="627">
        <v>0.09</v>
      </c>
      <c r="R1666" s="627"/>
      <c r="T1666" s="631">
        <v>0</v>
      </c>
      <c r="U1666" s="631"/>
      <c r="V1666" s="631"/>
      <c r="Y1666" s="631">
        <v>0</v>
      </c>
      <c r="Z1666" s="631"/>
      <c r="AA1666" s="631"/>
      <c r="AB1666" s="631"/>
      <c r="AC1666" s="631"/>
      <c r="AD1666" s="631"/>
      <c r="AF1666" s="627">
        <v>0.09</v>
      </c>
      <c r="AG1666" s="627"/>
      <c r="AH1666" s="627"/>
      <c r="AI1666" s="627"/>
      <c r="AJ1666" s="627"/>
      <c r="AK1666" s="627"/>
      <c r="AL1666" s="627"/>
    </row>
    <row r="1667" spans="1:39" ht="11.1" customHeight="1" x14ac:dyDescent="0.25">
      <c r="A1667" s="632" t="s">
        <v>4886</v>
      </c>
      <c r="B1667" s="632"/>
      <c r="C1667" s="632"/>
      <c r="J1667" s="632" t="s">
        <v>2066</v>
      </c>
      <c r="K1667" s="632"/>
      <c r="L1667" s="632"/>
      <c r="M1667" s="632"/>
      <c r="N1667" s="632"/>
      <c r="O1667" s="632"/>
      <c r="P1667" s="632"/>
      <c r="Q1667" s="633">
        <v>-0.09</v>
      </c>
      <c r="R1667" s="633"/>
      <c r="T1667" s="634">
        <v>0</v>
      </c>
      <c r="U1667" s="634"/>
      <c r="V1667" s="634"/>
      <c r="Y1667" s="634">
        <v>18144.990000000002</v>
      </c>
      <c r="Z1667" s="634"/>
      <c r="AA1667" s="634"/>
      <c r="AB1667" s="634"/>
      <c r="AC1667" s="634"/>
      <c r="AD1667" s="634"/>
      <c r="AF1667" s="633">
        <v>-18145.080000000002</v>
      </c>
      <c r="AG1667" s="633"/>
      <c r="AH1667" s="633"/>
      <c r="AI1667" s="633"/>
      <c r="AJ1667" s="633"/>
      <c r="AK1667" s="633"/>
      <c r="AL1667" s="633"/>
    </row>
    <row r="1668" spans="1:39" ht="11.1" customHeight="1" x14ac:dyDescent="0.25">
      <c r="A1668" s="630" t="s">
        <v>4887</v>
      </c>
      <c r="B1668" s="630"/>
      <c r="C1668" s="630"/>
      <c r="K1668" s="630" t="s">
        <v>2067</v>
      </c>
      <c r="L1668" s="630"/>
      <c r="M1668" s="630"/>
      <c r="N1668" s="630"/>
      <c r="O1668" s="630"/>
      <c r="P1668" s="630"/>
      <c r="Q1668" s="627">
        <v>-0.09</v>
      </c>
      <c r="R1668" s="627"/>
      <c r="T1668" s="631">
        <v>0</v>
      </c>
      <c r="U1668" s="631"/>
      <c r="V1668" s="631"/>
      <c r="Y1668" s="631">
        <v>18144.990000000002</v>
      </c>
      <c r="Z1668" s="631"/>
      <c r="AA1668" s="631"/>
      <c r="AB1668" s="631"/>
      <c r="AC1668" s="631"/>
      <c r="AD1668" s="631"/>
      <c r="AF1668" s="627">
        <v>-18145.080000000002</v>
      </c>
      <c r="AG1668" s="627"/>
      <c r="AH1668" s="627"/>
      <c r="AI1668" s="627"/>
      <c r="AJ1668" s="627"/>
      <c r="AK1668" s="627"/>
      <c r="AL1668" s="627"/>
    </row>
    <row r="1669" spans="1:39" ht="11.1" customHeight="1" x14ac:dyDescent="0.25">
      <c r="A1669" s="630" t="s">
        <v>4888</v>
      </c>
      <c r="B1669" s="630"/>
      <c r="C1669" s="630"/>
      <c r="L1669" s="630" t="s">
        <v>335</v>
      </c>
      <c r="M1669" s="630"/>
      <c r="N1669" s="630"/>
      <c r="O1669" s="630"/>
      <c r="P1669" s="630"/>
      <c r="Q1669" s="627">
        <v>-0.09</v>
      </c>
      <c r="R1669" s="627"/>
      <c r="T1669" s="631">
        <v>0</v>
      </c>
      <c r="U1669" s="631"/>
      <c r="V1669" s="631"/>
      <c r="Y1669" s="631">
        <v>18144.990000000002</v>
      </c>
      <c r="Z1669" s="631"/>
      <c r="AA1669" s="631"/>
      <c r="AB1669" s="631"/>
      <c r="AC1669" s="631"/>
      <c r="AD1669" s="631"/>
      <c r="AF1669" s="627">
        <v>-18145.080000000002</v>
      </c>
      <c r="AG1669" s="627"/>
      <c r="AH1669" s="627"/>
      <c r="AI1669" s="627"/>
      <c r="AJ1669" s="627"/>
      <c r="AK1669" s="627"/>
      <c r="AL1669" s="627"/>
    </row>
    <row r="1670" spans="1:39" ht="11.1" customHeight="1" x14ac:dyDescent="0.25">
      <c r="A1670" s="630" t="s">
        <v>4889</v>
      </c>
      <c r="B1670" s="630"/>
      <c r="C1670" s="630"/>
      <c r="M1670" s="630" t="s">
        <v>2384</v>
      </c>
      <c r="N1670" s="630"/>
      <c r="O1670" s="630"/>
      <c r="P1670" s="630"/>
      <c r="Q1670" s="627">
        <v>-0.09</v>
      </c>
      <c r="R1670" s="627"/>
      <c r="T1670" s="631">
        <v>0</v>
      </c>
      <c r="U1670" s="631"/>
      <c r="V1670" s="631"/>
      <c r="Y1670" s="631">
        <v>0</v>
      </c>
      <c r="Z1670" s="631"/>
      <c r="AA1670" s="631"/>
      <c r="AB1670" s="631"/>
      <c r="AC1670" s="631"/>
      <c r="AD1670" s="631"/>
      <c r="AF1670" s="627">
        <v>-0.09</v>
      </c>
      <c r="AG1670" s="627"/>
      <c r="AH1670" s="627"/>
      <c r="AI1670" s="627"/>
      <c r="AJ1670" s="627"/>
      <c r="AK1670" s="627"/>
      <c r="AL1670" s="627"/>
    </row>
    <row r="1671" spans="1:39" ht="11.1" customHeight="1" x14ac:dyDescent="0.25">
      <c r="A1671" s="630" t="s">
        <v>4890</v>
      </c>
      <c r="B1671" s="630"/>
      <c r="C1671" s="630"/>
      <c r="M1671" s="630" t="s">
        <v>3035</v>
      </c>
      <c r="N1671" s="630"/>
      <c r="O1671" s="630"/>
      <c r="P1671" s="630"/>
      <c r="Q1671" s="627">
        <v>0</v>
      </c>
      <c r="R1671" s="627"/>
      <c r="T1671" s="631">
        <v>0</v>
      </c>
      <c r="U1671" s="631"/>
      <c r="V1671" s="631"/>
      <c r="Y1671" s="631">
        <v>18144.990000000002</v>
      </c>
      <c r="Z1671" s="631"/>
      <c r="AA1671" s="631"/>
      <c r="AB1671" s="631"/>
      <c r="AC1671" s="631"/>
      <c r="AD1671" s="631"/>
      <c r="AF1671" s="627">
        <v>-18144.990000000002</v>
      </c>
      <c r="AG1671" s="627"/>
      <c r="AH1671" s="627"/>
      <c r="AI1671" s="627"/>
      <c r="AJ1671" s="627"/>
      <c r="AK1671" s="627"/>
      <c r="AL1671" s="627"/>
    </row>
    <row r="1672" spans="1:39" s="93" customFormat="1" ht="11.1" customHeight="1" x14ac:dyDescent="0.25">
      <c r="A1672" s="635" t="s">
        <v>4891</v>
      </c>
      <c r="B1672" s="635"/>
      <c r="C1672" s="635"/>
      <c r="H1672" s="635" t="s">
        <v>2106</v>
      </c>
      <c r="I1672" s="635"/>
      <c r="J1672" s="635"/>
      <c r="K1672" s="635"/>
      <c r="L1672" s="635"/>
      <c r="M1672" s="635"/>
      <c r="N1672" s="635"/>
      <c r="O1672" s="635"/>
      <c r="P1672" s="635"/>
      <c r="Q1672" s="636">
        <v>62618070.780000001</v>
      </c>
      <c r="R1672" s="636"/>
      <c r="T1672" s="637">
        <v>1241945.77</v>
      </c>
      <c r="U1672" s="637"/>
      <c r="V1672" s="637"/>
      <c r="Y1672" s="637">
        <v>11382781.68</v>
      </c>
      <c r="Z1672" s="637"/>
      <c r="AA1672" s="637"/>
      <c r="AB1672" s="637"/>
      <c r="AC1672" s="637"/>
      <c r="AD1672" s="637"/>
      <c r="AF1672" s="636">
        <v>52477234.869999997</v>
      </c>
      <c r="AG1672" s="636"/>
      <c r="AH1672" s="636"/>
      <c r="AI1672" s="636"/>
      <c r="AJ1672" s="636"/>
      <c r="AK1672" s="636"/>
      <c r="AL1672" s="636"/>
      <c r="AM1672" s="136">
        <f>SUM(AF1672-AF1687)</f>
        <v>40941234.329999998</v>
      </c>
    </row>
    <row r="1673" spans="1:39" ht="11.1" customHeight="1" x14ac:dyDescent="0.25">
      <c r="A1673" s="632" t="s">
        <v>4892</v>
      </c>
      <c r="B1673" s="632"/>
      <c r="C1673" s="632"/>
      <c r="I1673" s="632" t="s">
        <v>581</v>
      </c>
      <c r="J1673" s="632"/>
      <c r="K1673" s="632"/>
      <c r="L1673" s="632"/>
      <c r="M1673" s="632"/>
      <c r="N1673" s="632"/>
      <c r="O1673" s="632"/>
      <c r="P1673" s="632"/>
      <c r="Q1673" s="633">
        <v>62618070.780000001</v>
      </c>
      <c r="R1673" s="633"/>
      <c r="T1673" s="634">
        <v>1239783.1599999999</v>
      </c>
      <c r="U1673" s="634"/>
      <c r="V1673" s="634"/>
      <c r="Y1673" s="634">
        <v>11382781.68</v>
      </c>
      <c r="Z1673" s="634"/>
      <c r="AA1673" s="634"/>
      <c r="AB1673" s="634"/>
      <c r="AC1673" s="634"/>
      <c r="AD1673" s="634"/>
      <c r="AF1673" s="633">
        <v>52475072.259999998</v>
      </c>
      <c r="AG1673" s="633"/>
      <c r="AH1673" s="633"/>
      <c r="AI1673" s="633"/>
      <c r="AJ1673" s="633"/>
      <c r="AK1673" s="633"/>
      <c r="AL1673" s="633"/>
    </row>
    <row r="1674" spans="1:39" ht="11.1" customHeight="1" x14ac:dyDescent="0.25">
      <c r="A1674" s="632" t="s">
        <v>4893</v>
      </c>
      <c r="B1674" s="632"/>
      <c r="C1674" s="632"/>
      <c r="J1674" s="632" t="s">
        <v>2073</v>
      </c>
      <c r="K1674" s="632"/>
      <c r="L1674" s="632"/>
      <c r="M1674" s="632"/>
      <c r="N1674" s="632"/>
      <c r="O1674" s="632"/>
      <c r="P1674" s="632"/>
      <c r="Q1674" s="633">
        <v>6560.54</v>
      </c>
      <c r="R1674" s="633"/>
      <c r="T1674" s="634">
        <v>0.54</v>
      </c>
      <c r="U1674" s="634"/>
      <c r="V1674" s="634"/>
      <c r="Y1674" s="634">
        <v>0.01</v>
      </c>
      <c r="Z1674" s="634"/>
      <c r="AA1674" s="634"/>
      <c r="AB1674" s="634"/>
      <c r="AC1674" s="634"/>
      <c r="AD1674" s="634"/>
      <c r="AF1674" s="633">
        <v>6561.07</v>
      </c>
      <c r="AG1674" s="633"/>
      <c r="AH1674" s="633"/>
      <c r="AI1674" s="633"/>
      <c r="AJ1674" s="633"/>
      <c r="AK1674" s="633"/>
      <c r="AL1674" s="633"/>
    </row>
    <row r="1675" spans="1:39" ht="11.1" customHeight="1" x14ac:dyDescent="0.25">
      <c r="A1675" s="630" t="s">
        <v>4894</v>
      </c>
      <c r="B1675" s="630"/>
      <c r="C1675" s="630"/>
      <c r="L1675" s="630" t="s">
        <v>302</v>
      </c>
      <c r="M1675" s="630"/>
      <c r="N1675" s="630"/>
      <c r="O1675" s="630"/>
      <c r="P1675" s="630"/>
      <c r="Q1675" s="627">
        <v>6560.54</v>
      </c>
      <c r="R1675" s="627"/>
      <c r="T1675" s="631">
        <v>0.54</v>
      </c>
      <c r="U1675" s="631"/>
      <c r="V1675" s="631"/>
      <c r="Y1675" s="631">
        <v>0.01</v>
      </c>
      <c r="Z1675" s="631"/>
      <c r="AA1675" s="631"/>
      <c r="AB1675" s="631"/>
      <c r="AC1675" s="631"/>
      <c r="AD1675" s="631"/>
      <c r="AF1675" s="627">
        <v>6561.07</v>
      </c>
      <c r="AG1675" s="627"/>
      <c r="AH1675" s="627"/>
      <c r="AI1675" s="627"/>
      <c r="AJ1675" s="627"/>
      <c r="AK1675" s="627"/>
      <c r="AL1675" s="627"/>
    </row>
    <row r="1676" spans="1:39" ht="11.1" customHeight="1" x14ac:dyDescent="0.25">
      <c r="A1676" s="630" t="s">
        <v>4895</v>
      </c>
      <c r="B1676" s="630"/>
      <c r="C1676" s="630"/>
      <c r="M1676" s="630" t="s">
        <v>2111</v>
      </c>
      <c r="N1676" s="630"/>
      <c r="O1676" s="630"/>
      <c r="P1676" s="630"/>
      <c r="Q1676" s="627">
        <v>6560.54</v>
      </c>
      <c r="R1676" s="627"/>
      <c r="T1676" s="631">
        <v>0.54</v>
      </c>
      <c r="U1676" s="631"/>
      <c r="V1676" s="631"/>
      <c r="Y1676" s="631">
        <v>0.01</v>
      </c>
      <c r="Z1676" s="631"/>
      <c r="AA1676" s="631"/>
      <c r="AB1676" s="631"/>
      <c r="AC1676" s="631"/>
      <c r="AD1676" s="631"/>
      <c r="AF1676" s="627">
        <v>6561.07</v>
      </c>
      <c r="AG1676" s="627"/>
      <c r="AH1676" s="627"/>
      <c r="AI1676" s="627"/>
      <c r="AJ1676" s="627"/>
      <c r="AK1676" s="627"/>
      <c r="AL1676" s="627"/>
    </row>
    <row r="1677" spans="1:39" ht="11.1" customHeight="1" x14ac:dyDescent="0.25">
      <c r="A1677" s="632" t="s">
        <v>4896</v>
      </c>
      <c r="B1677" s="632"/>
      <c r="C1677" s="632"/>
      <c r="J1677" s="632" t="s">
        <v>1120</v>
      </c>
      <c r="K1677" s="632"/>
      <c r="L1677" s="632"/>
      <c r="M1677" s="632"/>
      <c r="N1677" s="632"/>
      <c r="O1677" s="632"/>
      <c r="P1677" s="632"/>
      <c r="Q1677" s="633">
        <v>51050198.829999998</v>
      </c>
      <c r="R1677" s="633"/>
      <c r="T1677" s="634">
        <v>1227776.44</v>
      </c>
      <c r="U1677" s="634"/>
      <c r="V1677" s="634"/>
      <c r="Y1677" s="634">
        <v>11382781.67</v>
      </c>
      <c r="Z1677" s="634"/>
      <c r="AA1677" s="634"/>
      <c r="AB1677" s="634"/>
      <c r="AC1677" s="634"/>
      <c r="AD1677" s="634"/>
      <c r="AF1677" s="633">
        <v>40895193.600000001</v>
      </c>
      <c r="AG1677" s="633"/>
      <c r="AH1677" s="633"/>
      <c r="AI1677" s="633"/>
      <c r="AJ1677" s="633"/>
      <c r="AK1677" s="633"/>
      <c r="AL1677" s="633"/>
    </row>
    <row r="1678" spans="1:39" ht="11.1" customHeight="1" x14ac:dyDescent="0.25">
      <c r="A1678" s="630" t="s">
        <v>4897</v>
      </c>
      <c r="B1678" s="630"/>
      <c r="C1678" s="630"/>
      <c r="L1678" s="630" t="s">
        <v>302</v>
      </c>
      <c r="M1678" s="630"/>
      <c r="N1678" s="630"/>
      <c r="O1678" s="630"/>
      <c r="P1678" s="630"/>
      <c r="Q1678" s="627">
        <v>51050198.829999998</v>
      </c>
      <c r="R1678" s="627"/>
      <c r="T1678" s="631">
        <v>1227776.44</v>
      </c>
      <c r="U1678" s="631"/>
      <c r="V1678" s="631"/>
      <c r="Y1678" s="631">
        <v>11382781.67</v>
      </c>
      <c r="Z1678" s="631"/>
      <c r="AA1678" s="631"/>
      <c r="AB1678" s="631"/>
      <c r="AC1678" s="631"/>
      <c r="AD1678" s="631"/>
      <c r="AF1678" s="627">
        <v>40895193.600000001</v>
      </c>
      <c r="AG1678" s="627"/>
      <c r="AH1678" s="627"/>
      <c r="AI1678" s="627"/>
      <c r="AJ1678" s="627"/>
      <c r="AK1678" s="627"/>
      <c r="AL1678" s="627"/>
    </row>
    <row r="1679" spans="1:39" ht="11.1" customHeight="1" x14ac:dyDescent="0.25">
      <c r="A1679" s="630" t="s">
        <v>4898</v>
      </c>
      <c r="B1679" s="630"/>
      <c r="C1679" s="630"/>
      <c r="M1679" s="630" t="s">
        <v>2115</v>
      </c>
      <c r="N1679" s="630"/>
      <c r="O1679" s="630"/>
      <c r="P1679" s="630"/>
      <c r="Q1679" s="627">
        <v>47032641.829999998</v>
      </c>
      <c r="R1679" s="627"/>
      <c r="T1679" s="631">
        <v>0.01</v>
      </c>
      <c r="U1679" s="631"/>
      <c r="V1679" s="631"/>
      <c r="Y1679" s="631">
        <v>11382781.67</v>
      </c>
      <c r="Z1679" s="631"/>
      <c r="AA1679" s="631"/>
      <c r="AB1679" s="631"/>
      <c r="AC1679" s="631"/>
      <c r="AD1679" s="631"/>
      <c r="AF1679" s="627">
        <v>35649860.170000002</v>
      </c>
      <c r="AG1679" s="627"/>
      <c r="AH1679" s="627"/>
      <c r="AI1679" s="627"/>
      <c r="AJ1679" s="627"/>
      <c r="AK1679" s="627"/>
      <c r="AL1679" s="627"/>
    </row>
    <row r="1680" spans="1:39" ht="11.1" customHeight="1" x14ac:dyDescent="0.25">
      <c r="A1680" s="630" t="s">
        <v>4899</v>
      </c>
      <c r="B1680" s="630"/>
      <c r="C1680" s="630"/>
      <c r="M1680" s="630" t="s">
        <v>2117</v>
      </c>
      <c r="N1680" s="630"/>
      <c r="O1680" s="630"/>
      <c r="P1680" s="630"/>
      <c r="Q1680" s="627">
        <v>21747.51</v>
      </c>
      <c r="R1680" s="627"/>
      <c r="T1680" s="631">
        <v>1405.18</v>
      </c>
      <c r="U1680" s="631"/>
      <c r="V1680" s="631"/>
      <c r="Y1680" s="631">
        <v>0</v>
      </c>
      <c r="Z1680" s="631"/>
      <c r="AA1680" s="631"/>
      <c r="AB1680" s="631"/>
      <c r="AC1680" s="631"/>
      <c r="AD1680" s="631"/>
      <c r="AF1680" s="627">
        <v>23152.69</v>
      </c>
      <c r="AG1680" s="627"/>
      <c r="AH1680" s="627"/>
      <c r="AI1680" s="627"/>
      <c r="AJ1680" s="627"/>
      <c r="AK1680" s="627"/>
      <c r="AL1680" s="627"/>
    </row>
    <row r="1681" spans="1:38" ht="11.1" customHeight="1" x14ac:dyDescent="0.25">
      <c r="A1681" s="630" t="s">
        <v>4900</v>
      </c>
      <c r="B1681" s="630"/>
      <c r="C1681" s="630"/>
      <c r="M1681" s="630" t="s">
        <v>2119</v>
      </c>
      <c r="N1681" s="630"/>
      <c r="O1681" s="630"/>
      <c r="P1681" s="630"/>
      <c r="Q1681" s="627">
        <v>3995809.49</v>
      </c>
      <c r="R1681" s="627"/>
      <c r="T1681" s="631">
        <v>1226371.25</v>
      </c>
      <c r="U1681" s="631"/>
      <c r="V1681" s="631"/>
      <c r="Y1681" s="631">
        <v>0</v>
      </c>
      <c r="Z1681" s="631"/>
      <c r="AA1681" s="631"/>
      <c r="AB1681" s="631"/>
      <c r="AC1681" s="631"/>
      <c r="AD1681" s="631"/>
      <c r="AF1681" s="627">
        <v>5222180.74</v>
      </c>
      <c r="AG1681" s="627"/>
      <c r="AH1681" s="627"/>
      <c r="AI1681" s="627"/>
      <c r="AJ1681" s="627"/>
      <c r="AK1681" s="627"/>
      <c r="AL1681" s="627"/>
    </row>
    <row r="1682" spans="1:38" ht="11.1" customHeight="1" x14ac:dyDescent="0.25">
      <c r="A1682" s="632" t="s">
        <v>4901</v>
      </c>
      <c r="B1682" s="632"/>
      <c r="C1682" s="632"/>
      <c r="J1682" s="632" t="s">
        <v>3037</v>
      </c>
      <c r="K1682" s="632"/>
      <c r="L1682" s="632"/>
      <c r="M1682" s="632"/>
      <c r="N1682" s="632"/>
      <c r="O1682" s="632"/>
      <c r="P1682" s="632"/>
      <c r="Q1682" s="633">
        <v>513.96</v>
      </c>
      <c r="R1682" s="633"/>
      <c r="T1682" s="634">
        <v>0</v>
      </c>
      <c r="U1682" s="634"/>
      <c r="V1682" s="634"/>
      <c r="Y1682" s="634">
        <v>0</v>
      </c>
      <c r="Z1682" s="634"/>
      <c r="AA1682" s="634"/>
      <c r="AB1682" s="634"/>
      <c r="AC1682" s="634"/>
      <c r="AD1682" s="634"/>
      <c r="AF1682" s="633">
        <v>513.96</v>
      </c>
      <c r="AG1682" s="633"/>
      <c r="AH1682" s="633"/>
      <c r="AI1682" s="633"/>
      <c r="AJ1682" s="633"/>
      <c r="AK1682" s="633"/>
      <c r="AL1682" s="633"/>
    </row>
    <row r="1683" spans="1:38" ht="11.1" customHeight="1" x14ac:dyDescent="0.25">
      <c r="A1683" s="630" t="s">
        <v>4902</v>
      </c>
      <c r="B1683" s="630"/>
      <c r="C1683" s="630"/>
      <c r="K1683" s="630" t="s">
        <v>3039</v>
      </c>
      <c r="L1683" s="630"/>
      <c r="M1683" s="630"/>
      <c r="N1683" s="630"/>
      <c r="O1683" s="630"/>
      <c r="P1683" s="630"/>
      <c r="Q1683" s="627">
        <v>513.96</v>
      </c>
      <c r="R1683" s="627"/>
      <c r="T1683" s="631">
        <v>0</v>
      </c>
      <c r="U1683" s="631"/>
      <c r="V1683" s="631"/>
      <c r="Y1683" s="631">
        <v>0</v>
      </c>
      <c r="Z1683" s="631"/>
      <c r="AA1683" s="631"/>
      <c r="AB1683" s="631"/>
      <c r="AC1683" s="631"/>
      <c r="AD1683" s="631"/>
      <c r="AF1683" s="627">
        <v>513.96</v>
      </c>
      <c r="AG1683" s="627"/>
      <c r="AH1683" s="627"/>
      <c r="AI1683" s="627"/>
      <c r="AJ1683" s="627"/>
      <c r="AK1683" s="627"/>
      <c r="AL1683" s="627"/>
    </row>
    <row r="1684" spans="1:38" ht="11.1" customHeight="1" x14ac:dyDescent="0.25">
      <c r="A1684" s="630" t="s">
        <v>4903</v>
      </c>
      <c r="B1684" s="630"/>
      <c r="C1684" s="630"/>
      <c r="M1684" s="630" t="s">
        <v>1753</v>
      </c>
      <c r="N1684" s="630"/>
      <c r="O1684" s="630"/>
      <c r="P1684" s="630"/>
      <c r="Q1684" s="627">
        <v>513.96</v>
      </c>
      <c r="R1684" s="627"/>
      <c r="T1684" s="631">
        <v>0</v>
      </c>
      <c r="U1684" s="631"/>
      <c r="V1684" s="631"/>
      <c r="Y1684" s="631">
        <v>0</v>
      </c>
      <c r="Z1684" s="631"/>
      <c r="AA1684" s="631"/>
      <c r="AB1684" s="631"/>
      <c r="AC1684" s="631"/>
      <c r="AD1684" s="631"/>
      <c r="AF1684" s="627">
        <v>513.96</v>
      </c>
      <c r="AG1684" s="627"/>
      <c r="AH1684" s="627"/>
      <c r="AI1684" s="627"/>
      <c r="AJ1684" s="627"/>
      <c r="AK1684" s="627"/>
      <c r="AL1684" s="627"/>
    </row>
    <row r="1685" spans="1:38" ht="11.1" customHeight="1" x14ac:dyDescent="0.25">
      <c r="A1685" s="632" t="s">
        <v>4904</v>
      </c>
      <c r="B1685" s="632"/>
      <c r="C1685" s="632"/>
      <c r="J1685" s="632" t="s">
        <v>2058</v>
      </c>
      <c r="K1685" s="632"/>
      <c r="L1685" s="632"/>
      <c r="M1685" s="632"/>
      <c r="N1685" s="632"/>
      <c r="O1685" s="632"/>
      <c r="P1685" s="632"/>
      <c r="Q1685" s="633">
        <v>10688.49</v>
      </c>
      <c r="R1685" s="633"/>
      <c r="T1685" s="634">
        <v>0</v>
      </c>
      <c r="U1685" s="634"/>
      <c r="V1685" s="634"/>
      <c r="Y1685" s="634">
        <v>0</v>
      </c>
      <c r="Z1685" s="634"/>
      <c r="AA1685" s="634"/>
      <c r="AB1685" s="634"/>
      <c r="AC1685" s="634"/>
      <c r="AD1685" s="634"/>
      <c r="AF1685" s="633">
        <v>10688.49</v>
      </c>
      <c r="AG1685" s="633"/>
      <c r="AH1685" s="633"/>
      <c r="AI1685" s="633"/>
      <c r="AJ1685" s="633"/>
      <c r="AK1685" s="633"/>
      <c r="AL1685" s="633"/>
    </row>
    <row r="1686" spans="1:38" ht="11.1" customHeight="1" x14ac:dyDescent="0.25">
      <c r="A1686" s="630" t="s">
        <v>4905</v>
      </c>
      <c r="B1686" s="630"/>
      <c r="C1686" s="630"/>
      <c r="M1686" s="630" t="s">
        <v>1753</v>
      </c>
      <c r="N1686" s="630"/>
      <c r="O1686" s="630"/>
      <c r="P1686" s="630"/>
      <c r="Q1686" s="627">
        <v>10688.49</v>
      </c>
      <c r="R1686" s="627"/>
      <c r="T1686" s="631">
        <v>0</v>
      </c>
      <c r="U1686" s="631"/>
      <c r="V1686" s="631"/>
      <c r="Y1686" s="631">
        <v>0</v>
      </c>
      <c r="Z1686" s="631"/>
      <c r="AA1686" s="631"/>
      <c r="AB1686" s="631"/>
      <c r="AC1686" s="631"/>
      <c r="AD1686" s="631"/>
      <c r="AF1686" s="627">
        <v>10688.49</v>
      </c>
      <c r="AG1686" s="627"/>
      <c r="AH1686" s="627"/>
      <c r="AI1686" s="627"/>
      <c r="AJ1686" s="627"/>
      <c r="AK1686" s="627"/>
      <c r="AL1686" s="627"/>
    </row>
    <row r="1687" spans="1:38" ht="11.1" customHeight="1" x14ac:dyDescent="0.25">
      <c r="A1687" s="632" t="s">
        <v>4906</v>
      </c>
      <c r="B1687" s="632"/>
      <c r="C1687" s="632"/>
      <c r="J1687" s="632" t="s">
        <v>2123</v>
      </c>
      <c r="K1687" s="632"/>
      <c r="L1687" s="632"/>
      <c r="M1687" s="632"/>
      <c r="N1687" s="632"/>
      <c r="O1687" s="632"/>
      <c r="P1687" s="632"/>
      <c r="Q1687" s="633">
        <v>11536000.539999999</v>
      </c>
      <c r="R1687" s="633"/>
      <c r="T1687" s="634">
        <v>0</v>
      </c>
      <c r="U1687" s="634"/>
      <c r="V1687" s="634"/>
      <c r="Y1687" s="634">
        <v>0</v>
      </c>
      <c r="Z1687" s="634"/>
      <c r="AA1687" s="634"/>
      <c r="AB1687" s="634"/>
      <c r="AC1687" s="634"/>
      <c r="AD1687" s="634"/>
      <c r="AF1687" s="633">
        <v>11536000.539999999</v>
      </c>
      <c r="AG1687" s="633"/>
      <c r="AH1687" s="633"/>
      <c r="AI1687" s="633"/>
      <c r="AJ1687" s="633"/>
      <c r="AK1687" s="633"/>
      <c r="AL1687" s="633"/>
    </row>
    <row r="1688" spans="1:38" ht="11.1" customHeight="1" x14ac:dyDescent="0.25">
      <c r="A1688" s="630" t="s">
        <v>4907</v>
      </c>
      <c r="B1688" s="630"/>
      <c r="C1688" s="630"/>
      <c r="M1688" s="630" t="s">
        <v>1753</v>
      </c>
      <c r="N1688" s="630"/>
      <c r="O1688" s="630"/>
      <c r="P1688" s="630"/>
      <c r="Q1688" s="627">
        <v>11536000.539999999</v>
      </c>
      <c r="R1688" s="627"/>
      <c r="T1688" s="631">
        <v>0</v>
      </c>
      <c r="U1688" s="631"/>
      <c r="V1688" s="631"/>
      <c r="Y1688" s="631">
        <v>0</v>
      </c>
      <c r="Z1688" s="631"/>
      <c r="AA1688" s="631"/>
      <c r="AB1688" s="631"/>
      <c r="AC1688" s="631"/>
      <c r="AD1688" s="631"/>
      <c r="AF1688" s="627">
        <v>11536000.539999999</v>
      </c>
      <c r="AG1688" s="627"/>
      <c r="AH1688" s="627"/>
      <c r="AI1688" s="627"/>
      <c r="AJ1688" s="627"/>
      <c r="AK1688" s="627"/>
      <c r="AL1688" s="627"/>
    </row>
    <row r="1689" spans="1:38" ht="11.1" customHeight="1" x14ac:dyDescent="0.25">
      <c r="A1689" s="632" t="s">
        <v>4908</v>
      </c>
      <c r="B1689" s="632"/>
      <c r="C1689" s="632"/>
      <c r="J1689" s="632" t="s">
        <v>2545</v>
      </c>
      <c r="K1689" s="632"/>
      <c r="L1689" s="632"/>
      <c r="M1689" s="632"/>
      <c r="N1689" s="632"/>
      <c r="O1689" s="632"/>
      <c r="P1689" s="632"/>
      <c r="Q1689" s="633">
        <v>725.02</v>
      </c>
      <c r="R1689" s="633"/>
      <c r="T1689" s="634">
        <v>0</v>
      </c>
      <c r="U1689" s="634"/>
      <c r="V1689" s="634"/>
      <c r="Y1689" s="634">
        <v>0</v>
      </c>
      <c r="Z1689" s="634"/>
      <c r="AA1689" s="634"/>
      <c r="AB1689" s="634"/>
      <c r="AC1689" s="634"/>
      <c r="AD1689" s="634"/>
      <c r="AF1689" s="633">
        <v>725.02</v>
      </c>
      <c r="AG1689" s="633"/>
      <c r="AH1689" s="633"/>
      <c r="AI1689" s="633"/>
      <c r="AJ1689" s="633"/>
      <c r="AK1689" s="633"/>
      <c r="AL1689" s="633"/>
    </row>
    <row r="1690" spans="1:38" ht="11.1" customHeight="1" x14ac:dyDescent="0.25">
      <c r="A1690" s="630" t="s">
        <v>4909</v>
      </c>
      <c r="B1690" s="630"/>
      <c r="C1690" s="630"/>
      <c r="M1690" s="630" t="s">
        <v>1753</v>
      </c>
      <c r="N1690" s="630"/>
      <c r="O1690" s="630"/>
      <c r="P1690" s="630"/>
      <c r="Q1690" s="627">
        <v>725.02</v>
      </c>
      <c r="R1690" s="627"/>
      <c r="T1690" s="631">
        <v>0</v>
      </c>
      <c r="U1690" s="631"/>
      <c r="V1690" s="631"/>
      <c r="Y1690" s="631">
        <v>0</v>
      </c>
      <c r="Z1690" s="631"/>
      <c r="AA1690" s="631"/>
      <c r="AB1690" s="631"/>
      <c r="AC1690" s="631"/>
      <c r="AD1690" s="631"/>
      <c r="AF1690" s="627">
        <v>725.02</v>
      </c>
      <c r="AG1690" s="627"/>
      <c r="AH1690" s="627"/>
      <c r="AI1690" s="627"/>
      <c r="AJ1690" s="627"/>
      <c r="AK1690" s="627"/>
      <c r="AL1690" s="627"/>
    </row>
    <row r="1691" spans="1:38" ht="11.1" customHeight="1" x14ac:dyDescent="0.25">
      <c r="A1691" s="632" t="s">
        <v>4910</v>
      </c>
      <c r="B1691" s="632"/>
      <c r="C1691" s="632"/>
      <c r="J1691" s="632" t="s">
        <v>2126</v>
      </c>
      <c r="K1691" s="632"/>
      <c r="L1691" s="632"/>
      <c r="M1691" s="632"/>
      <c r="N1691" s="632"/>
      <c r="O1691" s="632"/>
      <c r="P1691" s="632"/>
      <c r="Q1691" s="633">
        <v>13383.4</v>
      </c>
      <c r="R1691" s="633"/>
      <c r="T1691" s="634">
        <v>12006.18</v>
      </c>
      <c r="U1691" s="634"/>
      <c r="V1691" s="634"/>
      <c r="Y1691" s="634">
        <v>0</v>
      </c>
      <c r="Z1691" s="634"/>
      <c r="AA1691" s="634"/>
      <c r="AB1691" s="634"/>
      <c r="AC1691" s="634"/>
      <c r="AD1691" s="634"/>
      <c r="AF1691" s="633">
        <v>25389.58</v>
      </c>
      <c r="AG1691" s="633"/>
      <c r="AH1691" s="633"/>
      <c r="AI1691" s="633"/>
      <c r="AJ1691" s="633"/>
      <c r="AK1691" s="633"/>
      <c r="AL1691" s="633"/>
    </row>
    <row r="1692" spans="1:38" ht="11.1" customHeight="1" x14ac:dyDescent="0.25">
      <c r="A1692" s="630" t="s">
        <v>4911</v>
      </c>
      <c r="B1692" s="630"/>
      <c r="C1692" s="630"/>
      <c r="K1692" s="630" t="s">
        <v>2126</v>
      </c>
      <c r="L1692" s="630"/>
      <c r="M1692" s="630"/>
      <c r="N1692" s="630"/>
      <c r="O1692" s="630"/>
      <c r="P1692" s="630"/>
      <c r="Q1692" s="627">
        <v>13383.4</v>
      </c>
      <c r="R1692" s="627"/>
      <c r="T1692" s="631">
        <v>12006.18</v>
      </c>
      <c r="U1692" s="631"/>
      <c r="V1692" s="631"/>
      <c r="Y1692" s="631">
        <v>0</v>
      </c>
      <c r="Z1692" s="631"/>
      <c r="AA1692" s="631"/>
      <c r="AB1692" s="631"/>
      <c r="AC1692" s="631"/>
      <c r="AD1692" s="631"/>
      <c r="AF1692" s="627">
        <v>25389.58</v>
      </c>
      <c r="AG1692" s="627"/>
      <c r="AH1692" s="627"/>
      <c r="AI1692" s="627"/>
      <c r="AJ1692" s="627"/>
      <c r="AK1692" s="627"/>
      <c r="AL1692" s="627"/>
    </row>
    <row r="1693" spans="1:38" ht="11.1" customHeight="1" x14ac:dyDescent="0.25">
      <c r="A1693" s="630" t="s">
        <v>4912</v>
      </c>
      <c r="B1693" s="630"/>
      <c r="C1693" s="630"/>
      <c r="L1693" s="630" t="s">
        <v>302</v>
      </c>
      <c r="M1693" s="630"/>
      <c r="N1693" s="630"/>
      <c r="O1693" s="630"/>
      <c r="P1693" s="630"/>
      <c r="Q1693" s="627">
        <v>11391.62</v>
      </c>
      <c r="R1693" s="627"/>
      <c r="T1693" s="631">
        <v>11857.3</v>
      </c>
      <c r="U1693" s="631"/>
      <c r="V1693" s="631"/>
      <c r="Y1693" s="631">
        <v>0</v>
      </c>
      <c r="Z1693" s="631"/>
      <c r="AA1693" s="631"/>
      <c r="AB1693" s="631"/>
      <c r="AC1693" s="631"/>
      <c r="AD1693" s="631"/>
      <c r="AF1693" s="627">
        <v>23248.92</v>
      </c>
      <c r="AG1693" s="627"/>
      <c r="AH1693" s="627"/>
      <c r="AI1693" s="627"/>
      <c r="AJ1693" s="627"/>
      <c r="AK1693" s="627"/>
      <c r="AL1693" s="627"/>
    </row>
    <row r="1694" spans="1:38" ht="11.1" customHeight="1" x14ac:dyDescent="0.25">
      <c r="A1694" s="630" t="s">
        <v>4913</v>
      </c>
      <c r="B1694" s="630"/>
      <c r="C1694" s="630"/>
      <c r="M1694" s="630" t="s">
        <v>2126</v>
      </c>
      <c r="N1694" s="630"/>
      <c r="O1694" s="630"/>
      <c r="P1694" s="630"/>
      <c r="Q1694" s="627">
        <v>11391.62</v>
      </c>
      <c r="R1694" s="627"/>
      <c r="T1694" s="631">
        <v>11857.3</v>
      </c>
      <c r="U1694" s="631"/>
      <c r="V1694" s="631"/>
      <c r="Y1694" s="631">
        <v>0</v>
      </c>
      <c r="Z1694" s="631"/>
      <c r="AA1694" s="631"/>
      <c r="AB1694" s="631"/>
      <c r="AC1694" s="631"/>
      <c r="AD1694" s="631"/>
      <c r="AF1694" s="627">
        <v>23248.92</v>
      </c>
      <c r="AG1694" s="627"/>
      <c r="AH1694" s="627"/>
      <c r="AI1694" s="627"/>
      <c r="AJ1694" s="627"/>
      <c r="AK1694" s="627"/>
      <c r="AL1694" s="627"/>
    </row>
    <row r="1695" spans="1:38" ht="11.1" customHeight="1" x14ac:dyDescent="0.25">
      <c r="A1695" s="630" t="s">
        <v>4914</v>
      </c>
      <c r="B1695" s="630"/>
      <c r="C1695" s="630"/>
      <c r="L1695" s="630" t="s">
        <v>591</v>
      </c>
      <c r="M1695" s="630"/>
      <c r="N1695" s="630"/>
      <c r="O1695" s="630"/>
      <c r="P1695" s="630"/>
      <c r="Q1695" s="627">
        <v>1991.78</v>
      </c>
      <c r="R1695" s="627"/>
      <c r="T1695" s="631">
        <v>148.88</v>
      </c>
      <c r="U1695" s="631"/>
      <c r="V1695" s="631"/>
      <c r="Y1695" s="631">
        <v>0</v>
      </c>
      <c r="Z1695" s="631"/>
      <c r="AA1695" s="631"/>
      <c r="AB1695" s="631"/>
      <c r="AC1695" s="631"/>
      <c r="AD1695" s="631"/>
      <c r="AF1695" s="627">
        <v>2140.66</v>
      </c>
      <c r="AG1695" s="627"/>
      <c r="AH1695" s="627"/>
      <c r="AI1695" s="627"/>
      <c r="AJ1695" s="627"/>
      <c r="AK1695" s="627"/>
      <c r="AL1695" s="627"/>
    </row>
    <row r="1696" spans="1:38" ht="11.1" customHeight="1" x14ac:dyDescent="0.25">
      <c r="A1696" s="630" t="s">
        <v>4915</v>
      </c>
      <c r="B1696" s="630"/>
      <c r="C1696" s="630"/>
      <c r="M1696" s="630" t="s">
        <v>2130</v>
      </c>
      <c r="N1696" s="630"/>
      <c r="O1696" s="630"/>
      <c r="P1696" s="630"/>
      <c r="Q1696" s="627">
        <v>1991.78</v>
      </c>
      <c r="R1696" s="627"/>
      <c r="T1696" s="631">
        <v>148.88</v>
      </c>
      <c r="U1696" s="631"/>
      <c r="V1696" s="631"/>
      <c r="Y1696" s="631">
        <v>0</v>
      </c>
      <c r="Z1696" s="631"/>
      <c r="AA1696" s="631"/>
      <c r="AB1696" s="631"/>
      <c r="AC1696" s="631"/>
      <c r="AD1696" s="631"/>
      <c r="AF1696" s="627">
        <v>2140.66</v>
      </c>
      <c r="AG1696" s="627"/>
      <c r="AH1696" s="627"/>
      <c r="AI1696" s="627"/>
      <c r="AJ1696" s="627"/>
      <c r="AK1696" s="627"/>
      <c r="AL1696" s="627"/>
    </row>
    <row r="1697" spans="1:38" ht="11.1" customHeight="1" x14ac:dyDescent="0.25">
      <c r="A1697" s="632" t="s">
        <v>4916</v>
      </c>
      <c r="B1697" s="632"/>
      <c r="C1697" s="632"/>
      <c r="I1697" s="632" t="s">
        <v>1804</v>
      </c>
      <c r="J1697" s="632"/>
      <c r="K1697" s="632"/>
      <c r="L1697" s="632"/>
      <c r="M1697" s="632"/>
      <c r="N1697" s="632"/>
      <c r="O1697" s="632"/>
      <c r="P1697" s="632"/>
      <c r="Q1697" s="633">
        <v>0</v>
      </c>
      <c r="R1697" s="633"/>
      <c r="T1697" s="634">
        <v>2162.61</v>
      </c>
      <c r="U1697" s="634"/>
      <c r="V1697" s="634"/>
      <c r="Y1697" s="634">
        <v>0</v>
      </c>
      <c r="Z1697" s="634"/>
      <c r="AA1697" s="634"/>
      <c r="AB1697" s="634"/>
      <c r="AC1697" s="634"/>
      <c r="AD1697" s="634"/>
      <c r="AF1697" s="633">
        <v>2162.61</v>
      </c>
      <c r="AG1697" s="633"/>
      <c r="AH1697" s="633"/>
      <c r="AI1697" s="633"/>
      <c r="AJ1697" s="633"/>
      <c r="AK1697" s="633"/>
      <c r="AL1697" s="633"/>
    </row>
    <row r="1698" spans="1:38" ht="11.1" customHeight="1" x14ac:dyDescent="0.25">
      <c r="A1698" s="632" t="s">
        <v>4917</v>
      </c>
      <c r="B1698" s="632"/>
      <c r="C1698" s="632"/>
      <c r="J1698" s="632" t="s">
        <v>3042</v>
      </c>
      <c r="K1698" s="632"/>
      <c r="L1698" s="632"/>
      <c r="M1698" s="632"/>
      <c r="N1698" s="632"/>
      <c r="O1698" s="632"/>
      <c r="P1698" s="632"/>
      <c r="Q1698" s="633">
        <v>513.96</v>
      </c>
      <c r="R1698" s="633"/>
      <c r="T1698" s="634">
        <v>52.44</v>
      </c>
      <c r="U1698" s="634"/>
      <c r="V1698" s="634"/>
      <c r="Y1698" s="634">
        <v>0</v>
      </c>
      <c r="Z1698" s="634"/>
      <c r="AA1698" s="634"/>
      <c r="AB1698" s="634"/>
      <c r="AC1698" s="634"/>
      <c r="AD1698" s="634"/>
      <c r="AF1698" s="633">
        <v>566.4</v>
      </c>
      <c r="AG1698" s="633"/>
      <c r="AH1698" s="633"/>
      <c r="AI1698" s="633"/>
      <c r="AJ1698" s="633"/>
      <c r="AK1698" s="633"/>
      <c r="AL1698" s="633"/>
    </row>
    <row r="1699" spans="1:38" ht="11.1" customHeight="1" x14ac:dyDescent="0.25">
      <c r="A1699" s="630" t="s">
        <v>4918</v>
      </c>
      <c r="B1699" s="630"/>
      <c r="C1699" s="630"/>
      <c r="K1699" s="630" t="s">
        <v>3039</v>
      </c>
      <c r="L1699" s="630"/>
      <c r="M1699" s="630"/>
      <c r="N1699" s="630"/>
      <c r="O1699" s="630"/>
      <c r="P1699" s="630"/>
      <c r="Q1699" s="627">
        <v>513.96</v>
      </c>
      <c r="R1699" s="627"/>
      <c r="T1699" s="631">
        <v>52.44</v>
      </c>
      <c r="U1699" s="631"/>
      <c r="V1699" s="631"/>
      <c r="Y1699" s="631">
        <v>0</v>
      </c>
      <c r="Z1699" s="631"/>
      <c r="AA1699" s="631"/>
      <c r="AB1699" s="631"/>
      <c r="AC1699" s="631"/>
      <c r="AD1699" s="631"/>
      <c r="AF1699" s="627">
        <v>566.4</v>
      </c>
      <c r="AG1699" s="627"/>
      <c r="AH1699" s="627"/>
      <c r="AI1699" s="627"/>
      <c r="AJ1699" s="627"/>
      <c r="AK1699" s="627"/>
      <c r="AL1699" s="627"/>
    </row>
    <row r="1700" spans="1:38" ht="11.1" customHeight="1" x14ac:dyDescent="0.25">
      <c r="A1700" s="630" t="s">
        <v>4919</v>
      </c>
      <c r="B1700" s="630"/>
      <c r="C1700" s="630"/>
      <c r="L1700" s="630" t="s">
        <v>335</v>
      </c>
      <c r="M1700" s="630"/>
      <c r="N1700" s="630"/>
      <c r="O1700" s="630"/>
      <c r="P1700" s="630"/>
      <c r="Q1700" s="627">
        <v>513.96</v>
      </c>
      <c r="R1700" s="627"/>
      <c r="T1700" s="631">
        <v>52.44</v>
      </c>
      <c r="U1700" s="631"/>
      <c r="V1700" s="631"/>
      <c r="Y1700" s="631">
        <v>0</v>
      </c>
      <c r="Z1700" s="631"/>
      <c r="AA1700" s="631"/>
      <c r="AB1700" s="631"/>
      <c r="AC1700" s="631"/>
      <c r="AD1700" s="631"/>
      <c r="AF1700" s="627">
        <v>566.4</v>
      </c>
      <c r="AG1700" s="627"/>
      <c r="AH1700" s="627"/>
      <c r="AI1700" s="627"/>
      <c r="AJ1700" s="627"/>
      <c r="AK1700" s="627"/>
      <c r="AL1700" s="627"/>
    </row>
    <row r="1701" spans="1:38" ht="11.1" customHeight="1" x14ac:dyDescent="0.25">
      <c r="A1701" s="630" t="s">
        <v>4920</v>
      </c>
      <c r="B1701" s="630"/>
      <c r="C1701" s="630"/>
      <c r="M1701" s="630" t="s">
        <v>2084</v>
      </c>
      <c r="N1701" s="630"/>
      <c r="O1701" s="630"/>
      <c r="P1701" s="630"/>
      <c r="Q1701" s="627">
        <v>513.96</v>
      </c>
      <c r="R1701" s="627"/>
      <c r="T1701" s="631">
        <v>52.44</v>
      </c>
      <c r="U1701" s="631"/>
      <c r="V1701" s="631"/>
      <c r="Y1701" s="631">
        <v>0</v>
      </c>
      <c r="Z1701" s="631"/>
      <c r="AA1701" s="631"/>
      <c r="AB1701" s="631"/>
      <c r="AC1701" s="631"/>
      <c r="AD1701" s="631"/>
      <c r="AF1701" s="627">
        <v>566.4</v>
      </c>
      <c r="AG1701" s="627"/>
      <c r="AH1701" s="627"/>
      <c r="AI1701" s="627"/>
      <c r="AJ1701" s="627"/>
      <c r="AK1701" s="627"/>
      <c r="AL1701" s="627"/>
    </row>
    <row r="1702" spans="1:38" ht="11.1" customHeight="1" x14ac:dyDescent="0.25">
      <c r="A1702" s="632" t="s">
        <v>4921</v>
      </c>
      <c r="B1702" s="632"/>
      <c r="C1702" s="632"/>
      <c r="J1702" s="632" t="s">
        <v>2073</v>
      </c>
      <c r="K1702" s="632"/>
      <c r="L1702" s="632"/>
      <c r="M1702" s="632"/>
      <c r="N1702" s="632"/>
      <c r="O1702" s="632"/>
      <c r="P1702" s="632"/>
      <c r="Q1702" s="633">
        <v>10688.49</v>
      </c>
      <c r="R1702" s="633"/>
      <c r="T1702" s="634">
        <v>298.87</v>
      </c>
      <c r="U1702" s="634"/>
      <c r="V1702" s="634"/>
      <c r="Y1702" s="634">
        <v>0</v>
      </c>
      <c r="Z1702" s="634"/>
      <c r="AA1702" s="634"/>
      <c r="AB1702" s="634"/>
      <c r="AC1702" s="634"/>
      <c r="AD1702" s="634"/>
      <c r="AF1702" s="633">
        <v>10987.36</v>
      </c>
      <c r="AG1702" s="633"/>
      <c r="AH1702" s="633"/>
      <c r="AI1702" s="633"/>
      <c r="AJ1702" s="633"/>
      <c r="AK1702" s="633"/>
      <c r="AL1702" s="633"/>
    </row>
    <row r="1703" spans="1:38" ht="11.1" customHeight="1" x14ac:dyDescent="0.25">
      <c r="A1703" s="630" t="s">
        <v>4922</v>
      </c>
      <c r="B1703" s="630"/>
      <c r="C1703" s="630"/>
      <c r="M1703" s="630" t="s">
        <v>2134</v>
      </c>
      <c r="N1703" s="630"/>
      <c r="O1703" s="630"/>
      <c r="P1703" s="630"/>
      <c r="Q1703" s="627">
        <v>9516.9599999999991</v>
      </c>
      <c r="R1703" s="627"/>
      <c r="T1703" s="631">
        <v>298.87</v>
      </c>
      <c r="U1703" s="631"/>
      <c r="V1703" s="631"/>
      <c r="Y1703" s="631">
        <v>0</v>
      </c>
      <c r="Z1703" s="631"/>
      <c r="AA1703" s="631"/>
      <c r="AB1703" s="631"/>
      <c r="AC1703" s="631"/>
      <c r="AD1703" s="631"/>
      <c r="AF1703" s="627">
        <v>9815.83</v>
      </c>
      <c r="AG1703" s="627"/>
      <c r="AH1703" s="627"/>
      <c r="AI1703" s="627"/>
      <c r="AJ1703" s="627"/>
      <c r="AK1703" s="627"/>
      <c r="AL1703" s="627"/>
    </row>
    <row r="1704" spans="1:38" ht="11.1" customHeight="1" x14ac:dyDescent="0.25">
      <c r="A1704" s="630" t="s">
        <v>4923</v>
      </c>
      <c r="B1704" s="630"/>
      <c r="C1704" s="630"/>
      <c r="M1704" s="630" t="s">
        <v>2136</v>
      </c>
      <c r="N1704" s="630"/>
      <c r="O1704" s="630"/>
      <c r="P1704" s="630"/>
      <c r="Q1704" s="627">
        <v>1171.53</v>
      </c>
      <c r="R1704" s="627"/>
      <c r="T1704" s="631">
        <v>0</v>
      </c>
      <c r="U1704" s="631"/>
      <c r="V1704" s="631"/>
      <c r="Y1704" s="631">
        <v>0</v>
      </c>
      <c r="Z1704" s="631"/>
      <c r="AA1704" s="631"/>
      <c r="AB1704" s="631"/>
      <c r="AC1704" s="631"/>
      <c r="AD1704" s="631"/>
      <c r="AF1704" s="627">
        <v>1171.53</v>
      </c>
      <c r="AG1704" s="627"/>
      <c r="AH1704" s="627"/>
      <c r="AI1704" s="627"/>
      <c r="AJ1704" s="627"/>
      <c r="AK1704" s="627"/>
      <c r="AL1704" s="627"/>
    </row>
    <row r="1705" spans="1:38" ht="11.1" customHeight="1" x14ac:dyDescent="0.25">
      <c r="A1705" s="632" t="s">
        <v>4924</v>
      </c>
      <c r="B1705" s="632"/>
      <c r="C1705" s="632"/>
      <c r="J1705" s="632" t="s">
        <v>2138</v>
      </c>
      <c r="K1705" s="632"/>
      <c r="L1705" s="632"/>
      <c r="M1705" s="632"/>
      <c r="N1705" s="632"/>
      <c r="O1705" s="632"/>
      <c r="P1705" s="632"/>
      <c r="Q1705" s="633">
        <v>11536000.539999999</v>
      </c>
      <c r="R1705" s="633"/>
      <c r="T1705" s="634">
        <v>0</v>
      </c>
      <c r="U1705" s="634"/>
      <c r="V1705" s="634"/>
      <c r="Y1705" s="634">
        <v>0</v>
      </c>
      <c r="Z1705" s="634"/>
      <c r="AA1705" s="634"/>
      <c r="AB1705" s="634"/>
      <c r="AC1705" s="634"/>
      <c r="AD1705" s="634"/>
      <c r="AF1705" s="633">
        <v>11536000.539999999</v>
      </c>
      <c r="AG1705" s="633"/>
      <c r="AH1705" s="633"/>
      <c r="AI1705" s="633"/>
      <c r="AJ1705" s="633"/>
      <c r="AK1705" s="633"/>
      <c r="AL1705" s="633"/>
    </row>
    <row r="1706" spans="1:38" ht="11.1" customHeight="1" x14ac:dyDescent="0.25">
      <c r="A1706" s="630" t="s">
        <v>4925</v>
      </c>
      <c r="B1706" s="630"/>
      <c r="C1706" s="630"/>
      <c r="M1706" s="630" t="s">
        <v>2140</v>
      </c>
      <c r="N1706" s="630"/>
      <c r="O1706" s="630"/>
      <c r="P1706" s="630"/>
      <c r="Q1706" s="627">
        <v>11536000.539999999</v>
      </c>
      <c r="R1706" s="627"/>
      <c r="T1706" s="631">
        <v>0</v>
      </c>
      <c r="U1706" s="631"/>
      <c r="V1706" s="631"/>
      <c r="Y1706" s="631">
        <v>0</v>
      </c>
      <c r="Z1706" s="631"/>
      <c r="AA1706" s="631"/>
      <c r="AB1706" s="631"/>
      <c r="AC1706" s="631"/>
      <c r="AD1706" s="631"/>
      <c r="AF1706" s="627">
        <v>11536000.539999999</v>
      </c>
      <c r="AG1706" s="627"/>
      <c r="AH1706" s="627"/>
      <c r="AI1706" s="627"/>
      <c r="AJ1706" s="627"/>
      <c r="AK1706" s="627"/>
      <c r="AL1706" s="627"/>
    </row>
    <row r="1707" spans="1:38" ht="11.1" customHeight="1" x14ac:dyDescent="0.25">
      <c r="A1707" s="632" t="s">
        <v>4926</v>
      </c>
      <c r="B1707" s="632"/>
      <c r="C1707" s="632"/>
      <c r="J1707" s="632" t="s">
        <v>3047</v>
      </c>
      <c r="K1707" s="632"/>
      <c r="L1707" s="632"/>
      <c r="M1707" s="632"/>
      <c r="N1707" s="632"/>
      <c r="O1707" s="632"/>
      <c r="P1707" s="632"/>
      <c r="Q1707" s="633">
        <v>-513.96</v>
      </c>
      <c r="R1707" s="633"/>
      <c r="T1707" s="634">
        <v>0</v>
      </c>
      <c r="U1707" s="634"/>
      <c r="V1707" s="634"/>
      <c r="Y1707" s="634">
        <v>0</v>
      </c>
      <c r="Z1707" s="634"/>
      <c r="AA1707" s="634"/>
      <c r="AB1707" s="634"/>
      <c r="AC1707" s="634"/>
      <c r="AD1707" s="634"/>
      <c r="AF1707" s="633">
        <v>-513.96</v>
      </c>
      <c r="AG1707" s="633"/>
      <c r="AH1707" s="633"/>
      <c r="AI1707" s="633"/>
      <c r="AJ1707" s="633"/>
      <c r="AK1707" s="633"/>
      <c r="AL1707" s="633"/>
    </row>
    <row r="1708" spans="1:38" ht="11.1" customHeight="1" x14ac:dyDescent="0.25">
      <c r="A1708" s="630" t="s">
        <v>4927</v>
      </c>
      <c r="B1708" s="630"/>
      <c r="C1708" s="630"/>
      <c r="K1708" s="630" t="s">
        <v>581</v>
      </c>
      <c r="L1708" s="630"/>
      <c r="M1708" s="630"/>
      <c r="N1708" s="630"/>
      <c r="O1708" s="630"/>
      <c r="P1708" s="630"/>
      <c r="Q1708" s="627">
        <v>-513.96</v>
      </c>
      <c r="R1708" s="627"/>
      <c r="T1708" s="631">
        <v>0</v>
      </c>
      <c r="U1708" s="631"/>
      <c r="V1708" s="631"/>
      <c r="Y1708" s="631">
        <v>0</v>
      </c>
      <c r="Z1708" s="631"/>
      <c r="AA1708" s="631"/>
      <c r="AB1708" s="631"/>
      <c r="AC1708" s="631"/>
      <c r="AD1708" s="631"/>
      <c r="AF1708" s="627">
        <v>-513.96</v>
      </c>
      <c r="AG1708" s="627"/>
      <c r="AH1708" s="627"/>
      <c r="AI1708" s="627"/>
      <c r="AJ1708" s="627"/>
      <c r="AK1708" s="627"/>
      <c r="AL1708" s="627"/>
    </row>
    <row r="1709" spans="1:38" ht="11.1" customHeight="1" x14ac:dyDescent="0.25">
      <c r="A1709" s="630" t="s">
        <v>4928</v>
      </c>
      <c r="B1709" s="630"/>
      <c r="C1709" s="630"/>
      <c r="M1709" s="630" t="s">
        <v>2089</v>
      </c>
      <c r="N1709" s="630"/>
      <c r="O1709" s="630"/>
      <c r="P1709" s="630"/>
      <c r="Q1709" s="627">
        <v>-513.96</v>
      </c>
      <c r="R1709" s="627"/>
      <c r="T1709" s="631">
        <v>0</v>
      </c>
      <c r="U1709" s="631"/>
      <c r="V1709" s="631"/>
      <c r="Y1709" s="631">
        <v>0</v>
      </c>
      <c r="Z1709" s="631"/>
      <c r="AA1709" s="631"/>
      <c r="AB1709" s="631"/>
      <c r="AC1709" s="631"/>
      <c r="AD1709" s="631"/>
      <c r="AF1709" s="627">
        <v>-513.96</v>
      </c>
      <c r="AG1709" s="627"/>
      <c r="AH1709" s="627"/>
      <c r="AI1709" s="627"/>
      <c r="AJ1709" s="627"/>
      <c r="AK1709" s="627"/>
      <c r="AL1709" s="627"/>
    </row>
    <row r="1710" spans="1:38" ht="11.1" customHeight="1" x14ac:dyDescent="0.25">
      <c r="A1710" s="632" t="s">
        <v>4929</v>
      </c>
      <c r="B1710" s="632"/>
      <c r="C1710" s="632"/>
      <c r="J1710" s="632" t="s">
        <v>2091</v>
      </c>
      <c r="K1710" s="632"/>
      <c r="L1710" s="632"/>
      <c r="M1710" s="632"/>
      <c r="N1710" s="632"/>
      <c r="O1710" s="632"/>
      <c r="P1710" s="632"/>
      <c r="Q1710" s="633">
        <v>-10688.49</v>
      </c>
      <c r="R1710" s="633"/>
      <c r="T1710" s="634">
        <v>0</v>
      </c>
      <c r="U1710" s="634"/>
      <c r="V1710" s="634"/>
      <c r="Y1710" s="634">
        <v>0</v>
      </c>
      <c r="Z1710" s="634"/>
      <c r="AA1710" s="634"/>
      <c r="AB1710" s="634"/>
      <c r="AC1710" s="634"/>
      <c r="AD1710" s="634"/>
      <c r="AF1710" s="633">
        <v>-10688.49</v>
      </c>
      <c r="AG1710" s="633"/>
      <c r="AH1710" s="633"/>
      <c r="AI1710" s="633"/>
      <c r="AJ1710" s="633"/>
      <c r="AK1710" s="633"/>
      <c r="AL1710" s="633"/>
    </row>
    <row r="1711" spans="1:38" ht="11.1" customHeight="1" x14ac:dyDescent="0.25">
      <c r="A1711" s="630" t="s">
        <v>4930</v>
      </c>
      <c r="B1711" s="630"/>
      <c r="C1711" s="630"/>
      <c r="K1711" s="630" t="s">
        <v>581</v>
      </c>
      <c r="L1711" s="630"/>
      <c r="M1711" s="630"/>
      <c r="N1711" s="630"/>
      <c r="O1711" s="630"/>
      <c r="P1711" s="630"/>
      <c r="Q1711" s="627">
        <v>-10688.49</v>
      </c>
      <c r="R1711" s="627"/>
      <c r="T1711" s="631">
        <v>0</v>
      </c>
      <c r="U1711" s="631"/>
      <c r="V1711" s="631"/>
      <c r="Y1711" s="631">
        <v>0</v>
      </c>
      <c r="Z1711" s="631"/>
      <c r="AA1711" s="631"/>
      <c r="AB1711" s="631"/>
      <c r="AC1711" s="631"/>
      <c r="AD1711" s="631"/>
      <c r="AF1711" s="627">
        <v>-10688.49</v>
      </c>
      <c r="AG1711" s="627"/>
      <c r="AH1711" s="627"/>
      <c r="AI1711" s="627"/>
      <c r="AJ1711" s="627"/>
      <c r="AK1711" s="627"/>
      <c r="AL1711" s="627"/>
    </row>
    <row r="1712" spans="1:38" ht="11.1" customHeight="1" x14ac:dyDescent="0.25">
      <c r="A1712" s="630" t="s">
        <v>4931</v>
      </c>
      <c r="B1712" s="630"/>
      <c r="C1712" s="630"/>
      <c r="M1712" s="630" t="s">
        <v>2089</v>
      </c>
      <c r="N1712" s="630"/>
      <c r="O1712" s="630"/>
      <c r="P1712" s="630"/>
      <c r="Q1712" s="627">
        <v>-10688.49</v>
      </c>
      <c r="R1712" s="627"/>
      <c r="T1712" s="631">
        <v>0</v>
      </c>
      <c r="U1712" s="631"/>
      <c r="V1712" s="631"/>
      <c r="Y1712" s="631">
        <v>0</v>
      </c>
      <c r="Z1712" s="631"/>
      <c r="AA1712" s="631"/>
      <c r="AB1712" s="631"/>
      <c r="AC1712" s="631"/>
      <c r="AD1712" s="631"/>
      <c r="AF1712" s="627">
        <v>-10688.49</v>
      </c>
      <c r="AG1712" s="627"/>
      <c r="AH1712" s="627"/>
      <c r="AI1712" s="627"/>
      <c r="AJ1712" s="627"/>
      <c r="AK1712" s="627"/>
      <c r="AL1712" s="627"/>
    </row>
    <row r="1713" spans="1:38" ht="11.1" customHeight="1" x14ac:dyDescent="0.25">
      <c r="A1713" s="632" t="s">
        <v>4932</v>
      </c>
      <c r="B1713" s="632"/>
      <c r="C1713" s="632"/>
      <c r="J1713" s="632" t="s">
        <v>2145</v>
      </c>
      <c r="K1713" s="632"/>
      <c r="L1713" s="632"/>
      <c r="M1713" s="632"/>
      <c r="N1713" s="632"/>
      <c r="O1713" s="632"/>
      <c r="P1713" s="632"/>
      <c r="Q1713" s="633">
        <v>-11536000.539999999</v>
      </c>
      <c r="R1713" s="633"/>
      <c r="T1713" s="634">
        <v>0</v>
      </c>
      <c r="U1713" s="634"/>
      <c r="V1713" s="634"/>
      <c r="Y1713" s="634">
        <v>0</v>
      </c>
      <c r="Z1713" s="634"/>
      <c r="AA1713" s="634"/>
      <c r="AB1713" s="634"/>
      <c r="AC1713" s="634"/>
      <c r="AD1713" s="634"/>
      <c r="AF1713" s="633">
        <v>-11536000.539999999</v>
      </c>
      <c r="AG1713" s="633"/>
      <c r="AH1713" s="633"/>
      <c r="AI1713" s="633"/>
      <c r="AJ1713" s="633"/>
      <c r="AK1713" s="633"/>
      <c r="AL1713" s="633"/>
    </row>
    <row r="1714" spans="1:38" ht="11.1" customHeight="1" x14ac:dyDescent="0.25">
      <c r="A1714" s="630" t="s">
        <v>4933</v>
      </c>
      <c r="B1714" s="630"/>
      <c r="C1714" s="630"/>
      <c r="K1714" s="630" t="s">
        <v>581</v>
      </c>
      <c r="L1714" s="630"/>
      <c r="M1714" s="630"/>
      <c r="N1714" s="630"/>
      <c r="O1714" s="630"/>
      <c r="P1714" s="630"/>
      <c r="Q1714" s="627">
        <v>-11536000.539999999</v>
      </c>
      <c r="R1714" s="627"/>
      <c r="T1714" s="631">
        <v>0</v>
      </c>
      <c r="U1714" s="631"/>
      <c r="V1714" s="631"/>
      <c r="Y1714" s="631">
        <v>0</v>
      </c>
      <c r="Z1714" s="631"/>
      <c r="AA1714" s="631"/>
      <c r="AB1714" s="631"/>
      <c r="AC1714" s="631"/>
      <c r="AD1714" s="631"/>
      <c r="AF1714" s="627">
        <v>-11536000.539999999</v>
      </c>
      <c r="AG1714" s="627"/>
      <c r="AH1714" s="627"/>
      <c r="AI1714" s="627"/>
      <c r="AJ1714" s="627"/>
      <c r="AK1714" s="627"/>
      <c r="AL1714" s="627"/>
    </row>
    <row r="1715" spans="1:38" ht="11.1" customHeight="1" x14ac:dyDescent="0.25">
      <c r="A1715" s="630" t="s">
        <v>4934</v>
      </c>
      <c r="B1715" s="630"/>
      <c r="C1715" s="630"/>
      <c r="M1715" s="630" t="s">
        <v>2089</v>
      </c>
      <c r="N1715" s="630"/>
      <c r="O1715" s="630"/>
      <c r="P1715" s="630"/>
      <c r="Q1715" s="627">
        <v>-11536000.539999999</v>
      </c>
      <c r="R1715" s="627"/>
      <c r="T1715" s="631">
        <v>0</v>
      </c>
      <c r="U1715" s="631"/>
      <c r="V1715" s="631"/>
      <c r="Y1715" s="631">
        <v>0</v>
      </c>
      <c r="Z1715" s="631"/>
      <c r="AA1715" s="631"/>
      <c r="AB1715" s="631"/>
      <c r="AC1715" s="631"/>
      <c r="AD1715" s="631"/>
      <c r="AF1715" s="627">
        <v>-11536000.539999999</v>
      </c>
      <c r="AG1715" s="627"/>
      <c r="AH1715" s="627"/>
      <c r="AI1715" s="627"/>
      <c r="AJ1715" s="627"/>
      <c r="AK1715" s="627"/>
      <c r="AL1715" s="627"/>
    </row>
    <row r="1716" spans="1:38" ht="11.1" customHeight="1" x14ac:dyDescent="0.25">
      <c r="A1716" s="632" t="s">
        <v>4935</v>
      </c>
      <c r="B1716" s="632"/>
      <c r="C1716" s="632"/>
      <c r="J1716" s="632" t="s">
        <v>2550</v>
      </c>
      <c r="K1716" s="632"/>
      <c r="L1716" s="632"/>
      <c r="M1716" s="632"/>
      <c r="N1716" s="632"/>
      <c r="O1716" s="632"/>
      <c r="P1716" s="632"/>
      <c r="Q1716" s="633">
        <v>-725.02</v>
      </c>
      <c r="R1716" s="633"/>
      <c r="T1716" s="634">
        <v>0</v>
      </c>
      <c r="U1716" s="634"/>
      <c r="V1716" s="634"/>
      <c r="Y1716" s="634">
        <v>0</v>
      </c>
      <c r="Z1716" s="634"/>
      <c r="AA1716" s="634"/>
      <c r="AB1716" s="634"/>
      <c r="AC1716" s="634"/>
      <c r="AD1716" s="634"/>
      <c r="AF1716" s="633">
        <v>-725.02</v>
      </c>
      <c r="AG1716" s="633"/>
      <c r="AH1716" s="633"/>
      <c r="AI1716" s="633"/>
      <c r="AJ1716" s="633"/>
      <c r="AK1716" s="633"/>
      <c r="AL1716" s="633"/>
    </row>
    <row r="1717" spans="1:38" ht="11.1" customHeight="1" x14ac:dyDescent="0.25">
      <c r="A1717" s="630" t="s">
        <v>4936</v>
      </c>
      <c r="B1717" s="630"/>
      <c r="C1717" s="630"/>
      <c r="K1717" s="630" t="s">
        <v>581</v>
      </c>
      <c r="L1717" s="630"/>
      <c r="M1717" s="630"/>
      <c r="N1717" s="630"/>
      <c r="O1717" s="630"/>
      <c r="P1717" s="630"/>
      <c r="Q1717" s="627">
        <v>-725.02</v>
      </c>
      <c r="R1717" s="627"/>
      <c r="T1717" s="631">
        <v>0</v>
      </c>
      <c r="U1717" s="631"/>
      <c r="V1717" s="631"/>
      <c r="Y1717" s="631">
        <v>0</v>
      </c>
      <c r="Z1717" s="631"/>
      <c r="AA1717" s="631"/>
      <c r="AB1717" s="631"/>
      <c r="AC1717" s="631"/>
      <c r="AD1717" s="631"/>
      <c r="AF1717" s="627">
        <v>-725.02</v>
      </c>
      <c r="AG1717" s="627"/>
      <c r="AH1717" s="627"/>
      <c r="AI1717" s="627"/>
      <c r="AJ1717" s="627"/>
      <c r="AK1717" s="627"/>
      <c r="AL1717" s="627"/>
    </row>
    <row r="1718" spans="1:38" ht="11.1" customHeight="1" x14ac:dyDescent="0.25">
      <c r="A1718" s="630" t="s">
        <v>4937</v>
      </c>
      <c r="B1718" s="630"/>
      <c r="C1718" s="630"/>
      <c r="M1718" s="630" t="s">
        <v>2089</v>
      </c>
      <c r="N1718" s="630"/>
      <c r="O1718" s="630"/>
      <c r="P1718" s="630"/>
      <c r="Q1718" s="627">
        <v>-725.02</v>
      </c>
      <c r="R1718" s="627"/>
      <c r="T1718" s="631">
        <v>0</v>
      </c>
      <c r="U1718" s="631"/>
      <c r="V1718" s="631"/>
      <c r="Y1718" s="631">
        <v>0</v>
      </c>
      <c r="Z1718" s="631"/>
      <c r="AA1718" s="631"/>
      <c r="AB1718" s="631"/>
      <c r="AC1718" s="631"/>
      <c r="AD1718" s="631"/>
      <c r="AF1718" s="627">
        <v>-725.02</v>
      </c>
      <c r="AG1718" s="627"/>
      <c r="AH1718" s="627"/>
      <c r="AI1718" s="627"/>
      <c r="AJ1718" s="627"/>
      <c r="AK1718" s="627"/>
      <c r="AL1718" s="627"/>
    </row>
    <row r="1719" spans="1:38" ht="11.1" customHeight="1" x14ac:dyDescent="0.25">
      <c r="A1719" s="632" t="s">
        <v>4938</v>
      </c>
      <c r="B1719" s="632"/>
      <c r="C1719" s="632"/>
      <c r="J1719" s="632" t="s">
        <v>2126</v>
      </c>
      <c r="K1719" s="632"/>
      <c r="L1719" s="632"/>
      <c r="M1719" s="632"/>
      <c r="N1719" s="632"/>
      <c r="O1719" s="632"/>
      <c r="P1719" s="632"/>
      <c r="Q1719" s="633">
        <v>725.02</v>
      </c>
      <c r="R1719" s="633"/>
      <c r="T1719" s="634">
        <v>1811.3</v>
      </c>
      <c r="U1719" s="634"/>
      <c r="V1719" s="634"/>
      <c r="Y1719" s="634">
        <v>0</v>
      </c>
      <c r="Z1719" s="634"/>
      <c r="AA1719" s="634"/>
      <c r="AB1719" s="634"/>
      <c r="AC1719" s="634"/>
      <c r="AD1719" s="634"/>
      <c r="AF1719" s="633">
        <v>2536.3200000000002</v>
      </c>
      <c r="AG1719" s="633"/>
      <c r="AH1719" s="633"/>
      <c r="AI1719" s="633"/>
      <c r="AJ1719" s="633"/>
      <c r="AK1719" s="633"/>
      <c r="AL1719" s="633"/>
    </row>
    <row r="1720" spans="1:38" ht="11.1" customHeight="1" x14ac:dyDescent="0.25">
      <c r="A1720" s="630" t="s">
        <v>4939</v>
      </c>
      <c r="B1720" s="630"/>
      <c r="C1720" s="630"/>
      <c r="K1720" s="630" t="s">
        <v>2126</v>
      </c>
      <c r="L1720" s="630"/>
      <c r="M1720" s="630"/>
      <c r="N1720" s="630"/>
      <c r="O1720" s="630"/>
      <c r="P1720" s="630"/>
      <c r="Q1720" s="627">
        <v>725.02</v>
      </c>
      <c r="R1720" s="627"/>
      <c r="T1720" s="631">
        <v>1811.3</v>
      </c>
      <c r="U1720" s="631"/>
      <c r="V1720" s="631"/>
      <c r="Y1720" s="631">
        <v>0</v>
      </c>
      <c r="Z1720" s="631"/>
      <c r="AA1720" s="631"/>
      <c r="AB1720" s="631"/>
      <c r="AC1720" s="631"/>
      <c r="AD1720" s="631"/>
      <c r="AF1720" s="627">
        <v>2536.3200000000002</v>
      </c>
      <c r="AG1720" s="627"/>
      <c r="AH1720" s="627"/>
      <c r="AI1720" s="627"/>
      <c r="AJ1720" s="627"/>
      <c r="AK1720" s="627"/>
      <c r="AL1720" s="627"/>
    </row>
    <row r="1721" spans="1:38" ht="11.1" customHeight="1" x14ac:dyDescent="0.25">
      <c r="A1721" s="630" t="s">
        <v>4940</v>
      </c>
      <c r="B1721" s="630"/>
      <c r="C1721" s="630"/>
      <c r="L1721" s="630" t="s">
        <v>335</v>
      </c>
      <c r="M1721" s="630"/>
      <c r="N1721" s="630"/>
      <c r="O1721" s="630"/>
      <c r="P1721" s="630"/>
      <c r="Q1721" s="627">
        <v>725.02</v>
      </c>
      <c r="R1721" s="627"/>
      <c r="T1721" s="631">
        <v>1811.3</v>
      </c>
      <c r="U1721" s="631"/>
      <c r="V1721" s="631"/>
      <c r="Y1721" s="631">
        <v>0</v>
      </c>
      <c r="Z1721" s="631"/>
      <c r="AA1721" s="631"/>
      <c r="AB1721" s="631"/>
      <c r="AC1721" s="631"/>
      <c r="AD1721" s="631"/>
      <c r="AF1721" s="627">
        <v>2536.3200000000002</v>
      </c>
      <c r="AG1721" s="627"/>
      <c r="AH1721" s="627"/>
      <c r="AI1721" s="627"/>
      <c r="AJ1721" s="627"/>
      <c r="AK1721" s="627"/>
      <c r="AL1721" s="627"/>
    </row>
    <row r="1722" spans="1:38" ht="11.1" customHeight="1" x14ac:dyDescent="0.25">
      <c r="A1722" s="630" t="s">
        <v>4941</v>
      </c>
      <c r="B1722" s="630"/>
      <c r="C1722" s="630"/>
      <c r="M1722" s="630" t="s">
        <v>3051</v>
      </c>
      <c r="N1722" s="630"/>
      <c r="O1722" s="630"/>
      <c r="P1722" s="630"/>
      <c r="Q1722" s="627">
        <v>614.33000000000004</v>
      </c>
      <c r="R1722" s="627"/>
      <c r="T1722" s="631">
        <v>0</v>
      </c>
      <c r="U1722" s="631"/>
      <c r="V1722" s="631"/>
      <c r="Y1722" s="631">
        <v>0</v>
      </c>
      <c r="Z1722" s="631"/>
      <c r="AA1722" s="631"/>
      <c r="AB1722" s="631"/>
      <c r="AC1722" s="631"/>
      <c r="AD1722" s="631"/>
      <c r="AF1722" s="627">
        <v>614.33000000000004</v>
      </c>
      <c r="AG1722" s="627"/>
      <c r="AH1722" s="627"/>
      <c r="AI1722" s="627"/>
      <c r="AJ1722" s="627"/>
      <c r="AK1722" s="627"/>
      <c r="AL1722" s="627"/>
    </row>
    <row r="1723" spans="1:38" ht="11.1" customHeight="1" x14ac:dyDescent="0.25">
      <c r="A1723" s="630" t="s">
        <v>4942</v>
      </c>
      <c r="B1723" s="630"/>
      <c r="C1723" s="630"/>
      <c r="M1723" s="630" t="s">
        <v>2126</v>
      </c>
      <c r="N1723" s="630"/>
      <c r="O1723" s="630"/>
      <c r="P1723" s="630"/>
      <c r="Q1723" s="627">
        <v>110.69</v>
      </c>
      <c r="R1723" s="627"/>
      <c r="T1723" s="631">
        <v>1811.3</v>
      </c>
      <c r="U1723" s="631"/>
      <c r="V1723" s="631"/>
      <c r="Y1723" s="631">
        <v>0</v>
      </c>
      <c r="Z1723" s="631"/>
      <c r="AA1723" s="631"/>
      <c r="AB1723" s="631"/>
      <c r="AC1723" s="631"/>
      <c r="AD1723" s="631"/>
      <c r="AF1723" s="627">
        <v>1921.99</v>
      </c>
      <c r="AG1723" s="627"/>
      <c r="AH1723" s="627"/>
      <c r="AI1723" s="627"/>
      <c r="AJ1723" s="627"/>
      <c r="AK1723" s="627"/>
      <c r="AL1723" s="627"/>
    </row>
    <row r="1724" spans="1:38" ht="11.1" customHeight="1" x14ac:dyDescent="0.25">
      <c r="A1724" s="632" t="s">
        <v>4943</v>
      </c>
      <c r="B1724" s="632"/>
      <c r="C1724" s="632"/>
      <c r="H1724" s="632" t="s">
        <v>2149</v>
      </c>
      <c r="I1724" s="632"/>
      <c r="J1724" s="632"/>
      <c r="K1724" s="632"/>
      <c r="L1724" s="632"/>
      <c r="M1724" s="632"/>
      <c r="N1724" s="632"/>
      <c r="O1724" s="632"/>
      <c r="P1724" s="632"/>
      <c r="Q1724" s="633">
        <v>-11857273.27</v>
      </c>
      <c r="R1724" s="633"/>
      <c r="T1724" s="634">
        <v>6701849.4100000001</v>
      </c>
      <c r="U1724" s="634"/>
      <c r="V1724" s="634"/>
      <c r="Y1724" s="634">
        <v>16338.12</v>
      </c>
      <c r="Z1724" s="634"/>
      <c r="AA1724" s="634"/>
      <c r="AB1724" s="634"/>
      <c r="AC1724" s="634"/>
      <c r="AD1724" s="634"/>
      <c r="AF1724" s="633">
        <v>-5171761.9800000004</v>
      </c>
      <c r="AG1724" s="633"/>
      <c r="AH1724" s="633"/>
      <c r="AI1724" s="633"/>
      <c r="AJ1724" s="633"/>
      <c r="AK1724" s="633"/>
      <c r="AL1724" s="633"/>
    </row>
    <row r="1725" spans="1:38" ht="11.1" customHeight="1" x14ac:dyDescent="0.25">
      <c r="A1725" s="632" t="s">
        <v>4944</v>
      </c>
      <c r="B1725" s="632"/>
      <c r="C1725" s="632"/>
      <c r="H1725" s="632" t="s">
        <v>2151</v>
      </c>
      <c r="I1725" s="632"/>
      <c r="J1725" s="632"/>
      <c r="K1725" s="632"/>
      <c r="L1725" s="632"/>
      <c r="M1725" s="632"/>
      <c r="N1725" s="632"/>
      <c r="O1725" s="632"/>
      <c r="P1725" s="632"/>
      <c r="Q1725" s="633">
        <v>-321272.73</v>
      </c>
      <c r="R1725" s="633"/>
      <c r="T1725" s="634">
        <v>6701849.4100000001</v>
      </c>
      <c r="U1725" s="634"/>
      <c r="V1725" s="634"/>
      <c r="Y1725" s="634">
        <v>16338.12</v>
      </c>
      <c r="Z1725" s="634"/>
      <c r="AA1725" s="634"/>
      <c r="AB1725" s="634"/>
      <c r="AC1725" s="634"/>
      <c r="AD1725" s="634"/>
      <c r="AF1725" s="633">
        <v>6364238.5599999996</v>
      </c>
      <c r="AG1725" s="633"/>
      <c r="AH1725" s="633"/>
      <c r="AI1725" s="633"/>
      <c r="AJ1725" s="633"/>
      <c r="AK1725" s="633"/>
      <c r="AL1725" s="633"/>
    </row>
    <row r="1726" spans="1:38" ht="11.1" customHeight="1" x14ac:dyDescent="0.25">
      <c r="A1726" s="632" t="s">
        <v>4945</v>
      </c>
      <c r="B1726" s="632"/>
      <c r="C1726" s="632"/>
      <c r="H1726" s="632" t="s">
        <v>2151</v>
      </c>
      <c r="I1726" s="632"/>
      <c r="J1726" s="632"/>
      <c r="K1726" s="632"/>
      <c r="L1726" s="632"/>
      <c r="M1726" s="632"/>
      <c r="N1726" s="632"/>
      <c r="O1726" s="632"/>
      <c r="P1726" s="632"/>
      <c r="Q1726" s="633">
        <v>-321272.73</v>
      </c>
      <c r="R1726" s="633"/>
      <c r="T1726" s="634">
        <v>6701849.4100000001</v>
      </c>
      <c r="U1726" s="634"/>
      <c r="V1726" s="634"/>
      <c r="Y1726" s="634">
        <v>16338.12</v>
      </c>
      <c r="Z1726" s="634"/>
      <c r="AA1726" s="634"/>
      <c r="AB1726" s="634"/>
      <c r="AC1726" s="634"/>
      <c r="AD1726" s="634"/>
      <c r="AF1726" s="633">
        <v>6364238.5599999996</v>
      </c>
      <c r="AG1726" s="633"/>
      <c r="AH1726" s="633"/>
      <c r="AI1726" s="633"/>
      <c r="AJ1726" s="633"/>
      <c r="AK1726" s="633"/>
      <c r="AL1726" s="633"/>
    </row>
    <row r="1727" spans="1:38" ht="11.1" customHeight="1" x14ac:dyDescent="0.25">
      <c r="A1727" s="632" t="s">
        <v>4946</v>
      </c>
      <c r="B1727" s="632"/>
      <c r="C1727" s="632"/>
      <c r="I1727" s="632" t="s">
        <v>581</v>
      </c>
      <c r="J1727" s="632"/>
      <c r="K1727" s="632"/>
      <c r="L1727" s="632"/>
      <c r="M1727" s="632"/>
      <c r="N1727" s="632"/>
      <c r="O1727" s="632"/>
      <c r="P1727" s="632"/>
      <c r="Q1727" s="633">
        <v>-321272.73</v>
      </c>
      <c r="R1727" s="633"/>
      <c r="T1727" s="634">
        <v>6701849.4100000001</v>
      </c>
      <c r="U1727" s="634"/>
      <c r="V1727" s="634"/>
      <c r="Y1727" s="634">
        <v>16338.12</v>
      </c>
      <c r="Z1727" s="634"/>
      <c r="AA1727" s="634"/>
      <c r="AB1727" s="634"/>
      <c r="AC1727" s="634"/>
      <c r="AD1727" s="634"/>
      <c r="AF1727" s="633">
        <v>6364238.5599999996</v>
      </c>
      <c r="AG1727" s="633"/>
      <c r="AH1727" s="633"/>
      <c r="AI1727" s="633"/>
      <c r="AJ1727" s="633"/>
      <c r="AK1727" s="633"/>
      <c r="AL1727" s="633"/>
    </row>
    <row r="1728" spans="1:38" ht="11.1" customHeight="1" x14ac:dyDescent="0.25">
      <c r="A1728" s="632" t="s">
        <v>4947</v>
      </c>
      <c r="B1728" s="632"/>
      <c r="C1728" s="632"/>
      <c r="J1728" s="632" t="s">
        <v>2155</v>
      </c>
      <c r="K1728" s="632"/>
      <c r="L1728" s="632"/>
      <c r="M1728" s="632"/>
      <c r="N1728" s="632"/>
      <c r="O1728" s="632"/>
      <c r="P1728" s="632"/>
      <c r="Q1728" s="633">
        <v>-59713.65</v>
      </c>
      <c r="R1728" s="633"/>
      <c r="T1728" s="634">
        <v>1544353.5</v>
      </c>
      <c r="U1728" s="634"/>
      <c r="V1728" s="634"/>
      <c r="Y1728" s="634">
        <v>0</v>
      </c>
      <c r="Z1728" s="634"/>
      <c r="AA1728" s="634"/>
      <c r="AB1728" s="634"/>
      <c r="AC1728" s="634"/>
      <c r="AD1728" s="634"/>
      <c r="AF1728" s="633">
        <v>1484639.85</v>
      </c>
      <c r="AG1728" s="633"/>
      <c r="AH1728" s="633"/>
      <c r="AI1728" s="633"/>
      <c r="AJ1728" s="633"/>
      <c r="AK1728" s="633"/>
      <c r="AL1728" s="633"/>
    </row>
    <row r="1729" spans="1:40" ht="11.1" customHeight="1" x14ac:dyDescent="0.25">
      <c r="A1729" s="630" t="s">
        <v>4948</v>
      </c>
      <c r="B1729" s="630"/>
      <c r="C1729" s="630"/>
      <c r="M1729" s="630" t="s">
        <v>421</v>
      </c>
      <c r="N1729" s="630"/>
      <c r="O1729" s="630"/>
      <c r="P1729" s="630"/>
      <c r="Q1729" s="627">
        <v>-59713.65</v>
      </c>
      <c r="R1729" s="627"/>
      <c r="T1729" s="631">
        <v>1544353.5</v>
      </c>
      <c r="U1729" s="631"/>
      <c r="V1729" s="631"/>
      <c r="Y1729" s="631">
        <v>0</v>
      </c>
      <c r="Z1729" s="631"/>
      <c r="AA1729" s="631"/>
      <c r="AB1729" s="631"/>
      <c r="AC1729" s="631"/>
      <c r="AD1729" s="631"/>
      <c r="AF1729" s="627">
        <v>1484639.85</v>
      </c>
      <c r="AG1729" s="627"/>
      <c r="AH1729" s="627"/>
      <c r="AI1729" s="627"/>
      <c r="AJ1729" s="627"/>
      <c r="AK1729" s="627"/>
      <c r="AL1729" s="627"/>
    </row>
    <row r="1730" spans="1:40" ht="11.1" customHeight="1" x14ac:dyDescent="0.25">
      <c r="A1730" s="632" t="s">
        <v>4949</v>
      </c>
      <c r="B1730" s="632"/>
      <c r="C1730" s="632"/>
      <c r="J1730" s="632" t="s">
        <v>2158</v>
      </c>
      <c r="K1730" s="632"/>
      <c r="L1730" s="632"/>
      <c r="M1730" s="632"/>
      <c r="N1730" s="632"/>
      <c r="O1730" s="632"/>
      <c r="P1730" s="632"/>
      <c r="Q1730" s="633">
        <v>-261559.08</v>
      </c>
      <c r="R1730" s="633"/>
      <c r="T1730" s="634">
        <v>4287870.83</v>
      </c>
      <c r="U1730" s="634"/>
      <c r="V1730" s="634"/>
      <c r="Y1730" s="634">
        <v>0</v>
      </c>
      <c r="Z1730" s="634"/>
      <c r="AA1730" s="634"/>
      <c r="AB1730" s="634"/>
      <c r="AC1730" s="634"/>
      <c r="AD1730" s="634"/>
      <c r="AF1730" s="633">
        <v>4026311.75</v>
      </c>
      <c r="AG1730" s="633"/>
      <c r="AH1730" s="633"/>
      <c r="AI1730" s="633"/>
      <c r="AJ1730" s="633"/>
      <c r="AK1730" s="633"/>
      <c r="AL1730" s="633"/>
    </row>
    <row r="1731" spans="1:40" ht="11.1" customHeight="1" x14ac:dyDescent="0.25">
      <c r="A1731" s="630" t="s">
        <v>4950</v>
      </c>
      <c r="B1731" s="630"/>
      <c r="C1731" s="630"/>
      <c r="M1731" s="630" t="s">
        <v>415</v>
      </c>
      <c r="N1731" s="630"/>
      <c r="O1731" s="630"/>
      <c r="P1731" s="630"/>
      <c r="Q1731" s="627">
        <v>-261559.08</v>
      </c>
      <c r="R1731" s="627"/>
      <c r="T1731" s="631">
        <v>4287870.83</v>
      </c>
      <c r="U1731" s="631"/>
      <c r="V1731" s="631"/>
      <c r="Y1731" s="631">
        <v>0</v>
      </c>
      <c r="Z1731" s="631"/>
      <c r="AA1731" s="631"/>
      <c r="AB1731" s="631"/>
      <c r="AC1731" s="631"/>
      <c r="AD1731" s="631"/>
      <c r="AF1731" s="627">
        <v>4026311.75</v>
      </c>
      <c r="AG1731" s="627"/>
      <c r="AH1731" s="627"/>
      <c r="AI1731" s="627"/>
      <c r="AJ1731" s="627"/>
      <c r="AK1731" s="627"/>
      <c r="AL1731" s="627"/>
    </row>
    <row r="1732" spans="1:40" ht="11.1" customHeight="1" x14ac:dyDescent="0.25">
      <c r="A1732" s="632" t="s">
        <v>4951</v>
      </c>
      <c r="B1732" s="632"/>
      <c r="C1732" s="632"/>
      <c r="J1732" s="632" t="s">
        <v>2558</v>
      </c>
      <c r="K1732" s="632"/>
      <c r="L1732" s="632"/>
      <c r="M1732" s="632"/>
      <c r="N1732" s="632"/>
      <c r="O1732" s="632"/>
      <c r="P1732" s="632"/>
      <c r="Q1732" s="633">
        <v>0</v>
      </c>
      <c r="R1732" s="633"/>
      <c r="T1732" s="634">
        <v>230194.87</v>
      </c>
      <c r="U1732" s="634"/>
      <c r="V1732" s="634"/>
      <c r="Y1732" s="634">
        <v>4324.7700000000004</v>
      </c>
      <c r="Z1732" s="634"/>
      <c r="AA1732" s="634"/>
      <c r="AB1732" s="634"/>
      <c r="AC1732" s="634"/>
      <c r="AD1732" s="634"/>
      <c r="AF1732" s="633">
        <v>225870.1</v>
      </c>
      <c r="AG1732" s="633"/>
      <c r="AH1732" s="633"/>
      <c r="AI1732" s="633"/>
      <c r="AJ1732" s="633"/>
      <c r="AK1732" s="633"/>
      <c r="AL1732" s="633"/>
    </row>
    <row r="1733" spans="1:40" ht="11.1" customHeight="1" x14ac:dyDescent="0.25">
      <c r="A1733" s="630" t="s">
        <v>4952</v>
      </c>
      <c r="B1733" s="630"/>
      <c r="C1733" s="630"/>
      <c r="M1733" s="630" t="s">
        <v>2560</v>
      </c>
      <c r="N1733" s="630"/>
      <c r="O1733" s="630"/>
      <c r="P1733" s="630"/>
      <c r="Q1733" s="627">
        <v>0</v>
      </c>
      <c r="R1733" s="627"/>
      <c r="T1733" s="631">
        <v>230194.87</v>
      </c>
      <c r="U1733" s="631"/>
      <c r="V1733" s="631"/>
      <c r="Y1733" s="631">
        <v>4324.7700000000004</v>
      </c>
      <c r="Z1733" s="631"/>
      <c r="AA1733" s="631"/>
      <c r="AB1733" s="631"/>
      <c r="AC1733" s="631"/>
      <c r="AD1733" s="631"/>
      <c r="AF1733" s="627">
        <v>225870.1</v>
      </c>
      <c r="AG1733" s="627"/>
      <c r="AH1733" s="627"/>
      <c r="AI1733" s="627"/>
      <c r="AJ1733" s="627"/>
      <c r="AK1733" s="627"/>
      <c r="AL1733" s="627"/>
    </row>
    <row r="1734" spans="1:40" ht="11.1" customHeight="1" x14ac:dyDescent="0.25">
      <c r="A1734" s="632" t="s">
        <v>4953</v>
      </c>
      <c r="B1734" s="632"/>
      <c r="C1734" s="632"/>
      <c r="J1734" s="632" t="s">
        <v>2562</v>
      </c>
      <c r="K1734" s="632"/>
      <c r="L1734" s="632"/>
      <c r="M1734" s="632"/>
      <c r="N1734" s="632"/>
      <c r="O1734" s="632"/>
      <c r="P1734" s="632"/>
      <c r="Q1734" s="633">
        <v>0</v>
      </c>
      <c r="R1734" s="633"/>
      <c r="T1734" s="634">
        <v>639430.21</v>
      </c>
      <c r="U1734" s="634"/>
      <c r="V1734" s="634"/>
      <c r="Y1734" s="634">
        <v>12013.35</v>
      </c>
      <c r="Z1734" s="634"/>
      <c r="AA1734" s="634"/>
      <c r="AB1734" s="634"/>
      <c r="AC1734" s="634"/>
      <c r="AD1734" s="634"/>
      <c r="AF1734" s="633">
        <v>627416.86</v>
      </c>
      <c r="AG1734" s="633"/>
      <c r="AH1734" s="633"/>
      <c r="AI1734" s="633"/>
      <c r="AJ1734" s="633"/>
      <c r="AK1734" s="633"/>
      <c r="AL1734" s="633"/>
    </row>
    <row r="1735" spans="1:40" ht="11.1" customHeight="1" x14ac:dyDescent="0.25">
      <c r="A1735" s="630" t="s">
        <v>4954</v>
      </c>
      <c r="B1735" s="630"/>
      <c r="C1735" s="630"/>
      <c r="M1735" s="630" t="s">
        <v>236</v>
      </c>
      <c r="N1735" s="630"/>
      <c r="O1735" s="630"/>
      <c r="P1735" s="630"/>
      <c r="Q1735" s="627">
        <v>0</v>
      </c>
      <c r="R1735" s="627"/>
      <c r="T1735" s="631">
        <v>639430.21</v>
      </c>
      <c r="U1735" s="631"/>
      <c r="V1735" s="631"/>
      <c r="Y1735" s="631">
        <v>12013.35</v>
      </c>
      <c r="Z1735" s="631"/>
      <c r="AA1735" s="631"/>
      <c r="AB1735" s="631"/>
      <c r="AC1735" s="631"/>
      <c r="AD1735" s="631"/>
      <c r="AF1735" s="627">
        <v>627416.86</v>
      </c>
      <c r="AG1735" s="627"/>
      <c r="AH1735" s="627"/>
      <c r="AI1735" s="627"/>
      <c r="AJ1735" s="627"/>
      <c r="AK1735" s="627"/>
      <c r="AL1735" s="627"/>
    </row>
    <row r="1736" spans="1:40" ht="11.1" customHeight="1" x14ac:dyDescent="0.25">
      <c r="A1736" s="632" t="s">
        <v>4955</v>
      </c>
      <c r="B1736" s="632"/>
      <c r="C1736" s="632"/>
      <c r="H1736" s="632" t="s">
        <v>2161</v>
      </c>
      <c r="I1736" s="632"/>
      <c r="J1736" s="632"/>
      <c r="K1736" s="632"/>
      <c r="L1736" s="632"/>
      <c r="M1736" s="632"/>
      <c r="N1736" s="632"/>
      <c r="O1736" s="632"/>
      <c r="P1736" s="632"/>
      <c r="Q1736" s="633">
        <v>-11536000.539999999</v>
      </c>
      <c r="R1736" s="633"/>
      <c r="T1736" s="634">
        <v>0</v>
      </c>
      <c r="U1736" s="634"/>
      <c r="V1736" s="634"/>
      <c r="Y1736" s="634">
        <v>0</v>
      </c>
      <c r="Z1736" s="634"/>
      <c r="AA1736" s="634"/>
      <c r="AB1736" s="634"/>
      <c r="AC1736" s="634"/>
      <c r="AD1736" s="634"/>
      <c r="AF1736" s="633">
        <v>-11536000.539999999</v>
      </c>
      <c r="AG1736" s="633"/>
      <c r="AH1736" s="633"/>
      <c r="AI1736" s="633"/>
      <c r="AJ1736" s="633"/>
      <c r="AK1736" s="633"/>
      <c r="AL1736" s="633"/>
    </row>
    <row r="1737" spans="1:40" ht="11.1" customHeight="1" x14ac:dyDescent="0.25">
      <c r="A1737" s="632" t="s">
        <v>4956</v>
      </c>
      <c r="B1737" s="632"/>
      <c r="C1737" s="632"/>
      <c r="H1737" s="632" t="s">
        <v>2161</v>
      </c>
      <c r="I1737" s="632"/>
      <c r="J1737" s="632"/>
      <c r="K1737" s="632"/>
      <c r="L1737" s="632"/>
      <c r="M1737" s="632"/>
      <c r="N1737" s="632"/>
      <c r="O1737" s="632"/>
      <c r="P1737" s="632"/>
      <c r="Q1737" s="633">
        <v>-11536000.539999999</v>
      </c>
      <c r="R1737" s="633"/>
      <c r="T1737" s="634">
        <v>0</v>
      </c>
      <c r="U1737" s="634"/>
      <c r="V1737" s="634"/>
      <c r="Y1737" s="634">
        <v>0</v>
      </c>
      <c r="Z1737" s="634"/>
      <c r="AA1737" s="634"/>
      <c r="AB1737" s="634"/>
      <c r="AC1737" s="634"/>
      <c r="AD1737" s="634"/>
      <c r="AF1737" s="633">
        <v>-11536000.539999999</v>
      </c>
      <c r="AG1737" s="633"/>
      <c r="AH1737" s="633"/>
      <c r="AI1737" s="633"/>
      <c r="AJ1737" s="633"/>
      <c r="AK1737" s="633"/>
      <c r="AL1737" s="633"/>
    </row>
    <row r="1738" spans="1:40" ht="11.1" customHeight="1" x14ac:dyDescent="0.25">
      <c r="A1738" s="632" t="s">
        <v>4957</v>
      </c>
      <c r="B1738" s="632"/>
      <c r="C1738" s="632"/>
      <c r="I1738" s="632" t="s">
        <v>581</v>
      </c>
      <c r="J1738" s="632"/>
      <c r="K1738" s="632"/>
      <c r="L1738" s="632"/>
      <c r="M1738" s="632"/>
      <c r="N1738" s="632"/>
      <c r="O1738" s="632"/>
      <c r="P1738" s="632"/>
      <c r="Q1738" s="633">
        <v>-11536000.539999999</v>
      </c>
      <c r="R1738" s="633"/>
      <c r="T1738" s="634">
        <v>0</v>
      </c>
      <c r="U1738" s="634"/>
      <c r="V1738" s="634"/>
      <c r="Y1738" s="634">
        <v>0</v>
      </c>
      <c r="Z1738" s="634"/>
      <c r="AA1738" s="634"/>
      <c r="AB1738" s="634"/>
      <c r="AC1738" s="634"/>
      <c r="AD1738" s="634"/>
      <c r="AF1738" s="633">
        <v>-11536000.539999999</v>
      </c>
      <c r="AG1738" s="633"/>
      <c r="AH1738" s="633"/>
      <c r="AI1738" s="633"/>
      <c r="AJ1738" s="633"/>
      <c r="AK1738" s="633"/>
      <c r="AL1738" s="633"/>
    </row>
    <row r="1739" spans="1:40" ht="11.1" customHeight="1" x14ac:dyDescent="0.25">
      <c r="A1739" s="632" t="s">
        <v>4958</v>
      </c>
      <c r="B1739" s="632"/>
      <c r="C1739" s="632"/>
      <c r="J1739" s="632" t="s">
        <v>2165</v>
      </c>
      <c r="K1739" s="632"/>
      <c r="L1739" s="632"/>
      <c r="M1739" s="632"/>
      <c r="N1739" s="632"/>
      <c r="O1739" s="632"/>
      <c r="P1739" s="632"/>
      <c r="Q1739" s="633">
        <v>-11536000.539999999</v>
      </c>
      <c r="R1739" s="633"/>
      <c r="T1739" s="634">
        <v>0</v>
      </c>
      <c r="U1739" s="634"/>
      <c r="V1739" s="634"/>
      <c r="Y1739" s="634">
        <v>0</v>
      </c>
      <c r="Z1739" s="634"/>
      <c r="AA1739" s="634"/>
      <c r="AB1739" s="634"/>
      <c r="AC1739" s="634"/>
      <c r="AD1739" s="634"/>
      <c r="AF1739" s="633">
        <v>-11536000.539999999</v>
      </c>
      <c r="AG1739" s="633"/>
      <c r="AH1739" s="633"/>
      <c r="AI1739" s="633"/>
      <c r="AJ1739" s="633"/>
      <c r="AK1739" s="633"/>
      <c r="AL1739" s="633"/>
    </row>
    <row r="1740" spans="1:40" ht="11.1" customHeight="1" x14ac:dyDescent="0.25">
      <c r="A1740" s="630" t="s">
        <v>4959</v>
      </c>
      <c r="B1740" s="630"/>
      <c r="C1740" s="630"/>
      <c r="M1740" s="630" t="s">
        <v>2165</v>
      </c>
      <c r="N1740" s="630"/>
      <c r="O1740" s="630"/>
      <c r="P1740" s="630"/>
      <c r="Q1740" s="627">
        <v>-11536000.539999999</v>
      </c>
      <c r="R1740" s="627"/>
      <c r="T1740" s="631">
        <v>0</v>
      </c>
      <c r="U1740" s="631"/>
      <c r="V1740" s="631"/>
      <c r="Y1740" s="631">
        <v>0</v>
      </c>
      <c r="Z1740" s="631"/>
      <c r="AA1740" s="631"/>
      <c r="AB1740" s="631"/>
      <c r="AC1740" s="631"/>
      <c r="AD1740" s="631"/>
      <c r="AF1740" s="627">
        <v>-11536000.539999999</v>
      </c>
      <c r="AG1740" s="627"/>
      <c r="AH1740" s="627"/>
      <c r="AI1740" s="627"/>
      <c r="AJ1740" s="627"/>
      <c r="AK1740" s="627"/>
      <c r="AL1740" s="627"/>
    </row>
    <row r="1741" spans="1:40" ht="11.1" customHeight="1" x14ac:dyDescent="0.25">
      <c r="P1741" s="627">
        <v>-3.7252902985000001E-8</v>
      </c>
      <c r="Q1741" s="627"/>
      <c r="R1741" s="627"/>
      <c r="T1741" s="628">
        <v>182454083.59000036</v>
      </c>
      <c r="U1741" s="628"/>
      <c r="V1741" s="628"/>
      <c r="X1741" s="628">
        <v>182454083.59</v>
      </c>
      <c r="Y1741" s="628"/>
      <c r="Z1741" s="628"/>
      <c r="AA1741" s="628"/>
      <c r="AB1741" s="628"/>
      <c r="AC1741" s="628"/>
      <c r="AD1741" s="628"/>
      <c r="AF1741" s="627">
        <v>1.8626451492299999E-7</v>
      </c>
      <c r="AG1741" s="627"/>
      <c r="AH1741" s="627"/>
      <c r="AI1741" s="627"/>
      <c r="AJ1741" s="627"/>
      <c r="AK1741" s="627"/>
      <c r="AL1741" s="627"/>
    </row>
    <row r="1742" spans="1:40" ht="11.85" customHeight="1" x14ac:dyDescent="0.25">
      <c r="A1742" s="629"/>
      <c r="B1742" s="629"/>
      <c r="C1742" s="629"/>
      <c r="D1742" s="629"/>
      <c r="E1742" s="629"/>
      <c r="F1742" s="629"/>
      <c r="G1742" s="629"/>
      <c r="H1742" s="629"/>
      <c r="I1742" s="629"/>
      <c r="J1742" s="629"/>
      <c r="K1742" s="629"/>
      <c r="L1742" s="629"/>
      <c r="M1742" s="629"/>
      <c r="N1742" s="629"/>
      <c r="O1742" s="629"/>
      <c r="P1742" s="629"/>
      <c r="Q1742" s="629"/>
      <c r="R1742" s="629"/>
      <c r="S1742" s="629"/>
      <c r="T1742" s="629"/>
      <c r="U1742" s="629"/>
      <c r="V1742" s="629"/>
      <c r="W1742" s="629"/>
      <c r="X1742" s="629"/>
      <c r="Y1742" s="629"/>
      <c r="Z1742" s="629"/>
      <c r="AA1742" s="629"/>
      <c r="AB1742" s="629"/>
      <c r="AC1742" s="629"/>
      <c r="AD1742" s="629"/>
      <c r="AE1742" s="629"/>
      <c r="AF1742" s="629"/>
      <c r="AG1742" s="629"/>
      <c r="AH1742" s="629"/>
      <c r="AI1742" s="629"/>
    </row>
    <row r="1744" spans="1:40" x14ac:dyDescent="0.25">
      <c r="AM1744" s="85">
        <f>-SUM(AF1025+AF1724)</f>
        <v>30273306.43</v>
      </c>
      <c r="AN1744" t="s">
        <v>4964</v>
      </c>
    </row>
    <row r="1745" spans="39:40" x14ac:dyDescent="0.25">
      <c r="AM1745" s="128">
        <f>SUM(AM1744*5%)</f>
        <v>1513665.3215000001</v>
      </c>
    </row>
    <row r="1746" spans="39:40" x14ac:dyDescent="0.25">
      <c r="AM1746" s="85">
        <f>SUM(AM1744-AM1745)</f>
        <v>28759641.1085</v>
      </c>
    </row>
    <row r="1748" spans="39:40" x14ac:dyDescent="0.25">
      <c r="AM1748" s="85">
        <f>SUM(AM1746*25%)</f>
        <v>7189910.277125</v>
      </c>
      <c r="AN1748" t="s">
        <v>3065</v>
      </c>
    </row>
    <row r="1749" spans="39:40" x14ac:dyDescent="0.25">
      <c r="AM1749" s="128">
        <f>SUM(AM1746*25%)</f>
        <v>7189910.277125</v>
      </c>
      <c r="AN1749" t="s">
        <v>4960</v>
      </c>
    </row>
    <row r="1750" spans="39:40" x14ac:dyDescent="0.25">
      <c r="AM1750" s="85">
        <f>SUM(AM1748:AM1749)</f>
        <v>14379820.55425</v>
      </c>
    </row>
    <row r="1751" spans="39:40" x14ac:dyDescent="0.25">
      <c r="AM1751" s="85"/>
    </row>
    <row r="1752" spans="39:40" x14ac:dyDescent="0.25">
      <c r="AM1752" s="85">
        <f>SUM(AM1746-AM1750)</f>
        <v>14379820.55425</v>
      </c>
      <c r="AN1752" t="s">
        <v>4961</v>
      </c>
    </row>
    <row r="1753" spans="39:40" x14ac:dyDescent="0.25">
      <c r="AM1753" s="85"/>
    </row>
    <row r="1754" spans="39:40" x14ac:dyDescent="0.25">
      <c r="AM1754" s="85">
        <f>AM1749</f>
        <v>7189910.277125</v>
      </c>
    </row>
    <row r="1755" spans="39:40" x14ac:dyDescent="0.25">
      <c r="AM1755" s="128">
        <v>-3621673.72</v>
      </c>
      <c r="AN1755" t="s">
        <v>4962</v>
      </c>
    </row>
    <row r="1756" spans="39:40" x14ac:dyDescent="0.25">
      <c r="AM1756" s="85">
        <f>SUM(AM1754:AM1755)</f>
        <v>3568236.5571249998</v>
      </c>
      <c r="AN1756" t="s">
        <v>4963</v>
      </c>
    </row>
  </sheetData>
  <mergeCells count="10433">
    <mergeCell ref="A7:C7"/>
    <mergeCell ref="H7:P7"/>
    <mergeCell ref="Q7:R7"/>
    <mergeCell ref="T7:V7"/>
    <mergeCell ref="Y7:AD7"/>
    <mergeCell ref="AF7:AL7"/>
    <mergeCell ref="A6:C6"/>
    <mergeCell ref="H6:P6"/>
    <mergeCell ref="Q6:R6"/>
    <mergeCell ref="T6:V6"/>
    <mergeCell ref="Y6:AD6"/>
    <mergeCell ref="AF6:AL6"/>
    <mergeCell ref="B5:F5"/>
    <mergeCell ref="J5:O5"/>
    <mergeCell ref="P5:R5"/>
    <mergeCell ref="U5:V5"/>
    <mergeCell ref="AA5:AD5"/>
    <mergeCell ref="AJ5:AL5"/>
    <mergeCell ref="C3:Q3"/>
    <mergeCell ref="V3:Z3"/>
    <mergeCell ref="AB3:AF3"/>
    <mergeCell ref="AH3:AI3"/>
    <mergeCell ref="AK3:AL3"/>
    <mergeCell ref="C4:Q4"/>
    <mergeCell ref="C1:AL1"/>
    <mergeCell ref="C2:M2"/>
    <mergeCell ref="O2:R2"/>
    <mergeCell ref="Z2:AB2"/>
    <mergeCell ref="AD2:AG2"/>
    <mergeCell ref="AI2:AK2"/>
    <mergeCell ref="A13:C13"/>
    <mergeCell ref="M13:P13"/>
    <mergeCell ref="Q13:R13"/>
    <mergeCell ref="T13:V13"/>
    <mergeCell ref="Y13:AD13"/>
    <mergeCell ref="AF13:AL13"/>
    <mergeCell ref="A12:C12"/>
    <mergeCell ref="L12:P12"/>
    <mergeCell ref="Q12:R12"/>
    <mergeCell ref="T12:V12"/>
    <mergeCell ref="Y12:AD12"/>
    <mergeCell ref="AF12:AL12"/>
    <mergeCell ref="A11:C11"/>
    <mergeCell ref="K11:P11"/>
    <mergeCell ref="Q11:R11"/>
    <mergeCell ref="T11:V11"/>
    <mergeCell ref="Y11:AD11"/>
    <mergeCell ref="AF11:AL11"/>
    <mergeCell ref="A10:C10"/>
    <mergeCell ref="J10:P10"/>
    <mergeCell ref="Q10:R10"/>
    <mergeCell ref="T10:V10"/>
    <mergeCell ref="Y10:AD10"/>
    <mergeCell ref="AF10:AL10"/>
    <mergeCell ref="A9:C9"/>
    <mergeCell ref="I9:P9"/>
    <mergeCell ref="Q9:R9"/>
    <mergeCell ref="T9:V9"/>
    <mergeCell ref="Y9:AD9"/>
    <mergeCell ref="AF9:AL9"/>
    <mergeCell ref="A8:C8"/>
    <mergeCell ref="H8:P8"/>
    <mergeCell ref="Q8:R8"/>
    <mergeCell ref="T8:V8"/>
    <mergeCell ref="Y8:AD8"/>
    <mergeCell ref="AF8:AL8"/>
    <mergeCell ref="A19:C19"/>
    <mergeCell ref="M19:P19"/>
    <mergeCell ref="Q19:R19"/>
    <mergeCell ref="T19:V19"/>
    <mergeCell ref="Y19:AD19"/>
    <mergeCell ref="AF19:AL19"/>
    <mergeCell ref="A18:C18"/>
    <mergeCell ref="M18:P18"/>
    <mergeCell ref="Q18:R18"/>
    <mergeCell ref="T18:V18"/>
    <mergeCell ref="Y18:AD18"/>
    <mergeCell ref="AF18:AL18"/>
    <mergeCell ref="A17:C17"/>
    <mergeCell ref="M17:P17"/>
    <mergeCell ref="Q17:R17"/>
    <mergeCell ref="T17:V17"/>
    <mergeCell ref="Y17:AD17"/>
    <mergeCell ref="AF17:AL17"/>
    <mergeCell ref="A16:C16"/>
    <mergeCell ref="L16:P16"/>
    <mergeCell ref="Q16:R16"/>
    <mergeCell ref="T16:V16"/>
    <mergeCell ref="Y16:AD16"/>
    <mergeCell ref="AF16:AL16"/>
    <mergeCell ref="A15:C15"/>
    <mergeCell ref="K15:P15"/>
    <mergeCell ref="Q15:R15"/>
    <mergeCell ref="T15:V15"/>
    <mergeCell ref="Y15:AD15"/>
    <mergeCell ref="AF15:AL15"/>
    <mergeCell ref="A14:C14"/>
    <mergeCell ref="J14:P14"/>
    <mergeCell ref="Q14:R14"/>
    <mergeCell ref="T14:V14"/>
    <mergeCell ref="Y14:AD14"/>
    <mergeCell ref="AF14:AL14"/>
    <mergeCell ref="A25:C25"/>
    <mergeCell ref="L25:P25"/>
    <mergeCell ref="Q25:R25"/>
    <mergeCell ref="T25:V25"/>
    <mergeCell ref="Y25:AD25"/>
    <mergeCell ref="AF25:AL25"/>
    <mergeCell ref="A24:C24"/>
    <mergeCell ref="M24:P24"/>
    <mergeCell ref="Q24:R24"/>
    <mergeCell ref="T24:V24"/>
    <mergeCell ref="Y24:AD24"/>
    <mergeCell ref="AF24:AL24"/>
    <mergeCell ref="A23:C23"/>
    <mergeCell ref="M23:P23"/>
    <mergeCell ref="Q23:R23"/>
    <mergeCell ref="T23:V23"/>
    <mergeCell ref="Y23:AD23"/>
    <mergeCell ref="AF23:AL23"/>
    <mergeCell ref="A22:C22"/>
    <mergeCell ref="M22:P22"/>
    <mergeCell ref="Q22:R22"/>
    <mergeCell ref="T22:V22"/>
    <mergeCell ref="Y22:AD22"/>
    <mergeCell ref="AF22:AL22"/>
    <mergeCell ref="A21:C21"/>
    <mergeCell ref="M21:P21"/>
    <mergeCell ref="Q21:R21"/>
    <mergeCell ref="T21:V21"/>
    <mergeCell ref="Y21:AD21"/>
    <mergeCell ref="AF21:AL21"/>
    <mergeCell ref="A20:C20"/>
    <mergeCell ref="M20:P20"/>
    <mergeCell ref="Q20:R20"/>
    <mergeCell ref="T20:V20"/>
    <mergeCell ref="Y20:AD20"/>
    <mergeCell ref="AF20:AL20"/>
    <mergeCell ref="A31:C31"/>
    <mergeCell ref="J31:P31"/>
    <mergeCell ref="Q31:R31"/>
    <mergeCell ref="T31:V31"/>
    <mergeCell ref="Y31:AD31"/>
    <mergeCell ref="AF31:AL31"/>
    <mergeCell ref="A30:C30"/>
    <mergeCell ref="I30:P30"/>
    <mergeCell ref="Q30:R30"/>
    <mergeCell ref="T30:V30"/>
    <mergeCell ref="Y30:AD30"/>
    <mergeCell ref="AF30:AL30"/>
    <mergeCell ref="A29:C29"/>
    <mergeCell ref="M29:P29"/>
    <mergeCell ref="Q29:R29"/>
    <mergeCell ref="T29:V29"/>
    <mergeCell ref="Y29:AD29"/>
    <mergeCell ref="AF29:AL29"/>
    <mergeCell ref="A28:C28"/>
    <mergeCell ref="L28:P28"/>
    <mergeCell ref="Q28:R28"/>
    <mergeCell ref="T28:V28"/>
    <mergeCell ref="Y28:AD28"/>
    <mergeCell ref="AF28:AL28"/>
    <mergeCell ref="A27:C27"/>
    <mergeCell ref="J27:P27"/>
    <mergeCell ref="Q27:R27"/>
    <mergeCell ref="T27:V27"/>
    <mergeCell ref="Y27:AD27"/>
    <mergeCell ref="AF27:AL27"/>
    <mergeCell ref="A26:C26"/>
    <mergeCell ref="M26:P26"/>
    <mergeCell ref="Q26:R26"/>
    <mergeCell ref="T26:V26"/>
    <mergeCell ref="Y26:AD26"/>
    <mergeCell ref="AF26:AL26"/>
    <mergeCell ref="A37:C37"/>
    <mergeCell ref="M37:P37"/>
    <mergeCell ref="Q37:R37"/>
    <mergeCell ref="T37:V37"/>
    <mergeCell ref="Y37:AD37"/>
    <mergeCell ref="AF37:AL37"/>
    <mergeCell ref="A36:C36"/>
    <mergeCell ref="M36:P36"/>
    <mergeCell ref="Q36:R36"/>
    <mergeCell ref="T36:V36"/>
    <mergeCell ref="Y36:AD36"/>
    <mergeCell ref="AF36:AL36"/>
    <mergeCell ref="A35:C35"/>
    <mergeCell ref="M35:P35"/>
    <mergeCell ref="Q35:R35"/>
    <mergeCell ref="T35:V35"/>
    <mergeCell ref="Y35:AD35"/>
    <mergeCell ref="AF35:AL35"/>
    <mergeCell ref="A34:C34"/>
    <mergeCell ref="M34:P34"/>
    <mergeCell ref="Q34:R34"/>
    <mergeCell ref="T34:V34"/>
    <mergeCell ref="Y34:AD34"/>
    <mergeCell ref="AF34:AL34"/>
    <mergeCell ref="A33:C33"/>
    <mergeCell ref="L33:P33"/>
    <mergeCell ref="Q33:R33"/>
    <mergeCell ref="T33:V33"/>
    <mergeCell ref="Y33:AD33"/>
    <mergeCell ref="AF33:AL33"/>
    <mergeCell ref="A32:C32"/>
    <mergeCell ref="K32:P32"/>
    <mergeCell ref="Q32:R32"/>
    <mergeCell ref="T32:V32"/>
    <mergeCell ref="Y32:AD32"/>
    <mergeCell ref="AF32:AL32"/>
    <mergeCell ref="A43:C43"/>
    <mergeCell ref="L43:P43"/>
    <mergeCell ref="Q43:R43"/>
    <mergeCell ref="T43:V43"/>
    <mergeCell ref="Y43:AD43"/>
    <mergeCell ref="AF43:AL43"/>
    <mergeCell ref="A42:C42"/>
    <mergeCell ref="M42:P42"/>
    <mergeCell ref="Q42:R42"/>
    <mergeCell ref="T42:V42"/>
    <mergeCell ref="Y42:AD42"/>
    <mergeCell ref="AF42:AL42"/>
    <mergeCell ref="A41:C41"/>
    <mergeCell ref="M41:P41"/>
    <mergeCell ref="Q41:R41"/>
    <mergeCell ref="T41:V41"/>
    <mergeCell ref="Y41:AD41"/>
    <mergeCell ref="AF41:AL41"/>
    <mergeCell ref="A40:C40"/>
    <mergeCell ref="M40:P40"/>
    <mergeCell ref="Q40:R40"/>
    <mergeCell ref="T40:V40"/>
    <mergeCell ref="Y40:AD40"/>
    <mergeCell ref="AF40:AL40"/>
    <mergeCell ref="A39:C39"/>
    <mergeCell ref="M39:P39"/>
    <mergeCell ref="Q39:R39"/>
    <mergeCell ref="T39:V39"/>
    <mergeCell ref="Y39:AD39"/>
    <mergeCell ref="AF39:AL39"/>
    <mergeCell ref="A38:C38"/>
    <mergeCell ref="M38:P38"/>
    <mergeCell ref="Q38:R38"/>
    <mergeCell ref="T38:V38"/>
    <mergeCell ref="Y38:AD38"/>
    <mergeCell ref="AF38:AL38"/>
    <mergeCell ref="A49:C49"/>
    <mergeCell ref="L49:P49"/>
    <mergeCell ref="Q49:R49"/>
    <mergeCell ref="T49:V49"/>
    <mergeCell ref="Y49:AD49"/>
    <mergeCell ref="AF49:AL49"/>
    <mergeCell ref="A48:C48"/>
    <mergeCell ref="K48:P48"/>
    <mergeCell ref="Q48:R48"/>
    <mergeCell ref="T48:V48"/>
    <mergeCell ref="Y48:AD48"/>
    <mergeCell ref="AF48:AL48"/>
    <mergeCell ref="A47:C47"/>
    <mergeCell ref="J47:P47"/>
    <mergeCell ref="Q47:R47"/>
    <mergeCell ref="T47:V47"/>
    <mergeCell ref="Y47:AD47"/>
    <mergeCell ref="AF47:AL47"/>
    <mergeCell ref="A46:C46"/>
    <mergeCell ref="I46:P46"/>
    <mergeCell ref="Q46:R46"/>
    <mergeCell ref="T46:V46"/>
    <mergeCell ref="Y46:AD46"/>
    <mergeCell ref="AF46:AL46"/>
    <mergeCell ref="A45:C45"/>
    <mergeCell ref="H45:P45"/>
    <mergeCell ref="Q45:R45"/>
    <mergeCell ref="T45:V45"/>
    <mergeCell ref="Y45:AD45"/>
    <mergeCell ref="AF45:AL45"/>
    <mergeCell ref="A44:C44"/>
    <mergeCell ref="M44:P44"/>
    <mergeCell ref="Q44:R44"/>
    <mergeCell ref="T44:V44"/>
    <mergeCell ref="Y44:AD44"/>
    <mergeCell ref="AF44:AL44"/>
    <mergeCell ref="A55:C55"/>
    <mergeCell ref="H55:P55"/>
    <mergeCell ref="Q55:R55"/>
    <mergeCell ref="T55:V55"/>
    <mergeCell ref="Y55:AD55"/>
    <mergeCell ref="AF55:AL55"/>
    <mergeCell ref="A54:C54"/>
    <mergeCell ref="M54:P54"/>
    <mergeCell ref="Q54:R54"/>
    <mergeCell ref="T54:V54"/>
    <mergeCell ref="Y54:AD54"/>
    <mergeCell ref="AF54:AL54"/>
    <mergeCell ref="A53:C53"/>
    <mergeCell ref="M53:P53"/>
    <mergeCell ref="Q53:R53"/>
    <mergeCell ref="T53:V53"/>
    <mergeCell ref="Y53:AD53"/>
    <mergeCell ref="AF53:AL53"/>
    <mergeCell ref="A52:C52"/>
    <mergeCell ref="M52:P52"/>
    <mergeCell ref="Q52:R52"/>
    <mergeCell ref="T52:V52"/>
    <mergeCell ref="Y52:AD52"/>
    <mergeCell ref="AF52:AL52"/>
    <mergeCell ref="A51:C51"/>
    <mergeCell ref="M51:P51"/>
    <mergeCell ref="Q51:R51"/>
    <mergeCell ref="T51:V51"/>
    <mergeCell ref="Y51:AD51"/>
    <mergeCell ref="AF51:AL51"/>
    <mergeCell ref="A50:C50"/>
    <mergeCell ref="M50:P50"/>
    <mergeCell ref="Q50:R50"/>
    <mergeCell ref="T50:V50"/>
    <mergeCell ref="Y50:AD50"/>
    <mergeCell ref="AF50:AL50"/>
    <mergeCell ref="A61:C61"/>
    <mergeCell ref="M61:P61"/>
    <mergeCell ref="Q61:R61"/>
    <mergeCell ref="T61:V61"/>
    <mergeCell ref="Y61:AD61"/>
    <mergeCell ref="AF61:AL61"/>
    <mergeCell ref="A60:C60"/>
    <mergeCell ref="M60:P60"/>
    <mergeCell ref="Q60:R60"/>
    <mergeCell ref="T60:V60"/>
    <mergeCell ref="Y60:AD60"/>
    <mergeCell ref="AF60:AL60"/>
    <mergeCell ref="A59:C59"/>
    <mergeCell ref="L59:P59"/>
    <mergeCell ref="Q59:R59"/>
    <mergeCell ref="T59:V59"/>
    <mergeCell ref="Y59:AD59"/>
    <mergeCell ref="AF59:AL59"/>
    <mergeCell ref="A58:C58"/>
    <mergeCell ref="K58:P58"/>
    <mergeCell ref="Q58:R58"/>
    <mergeCell ref="T58:V58"/>
    <mergeCell ref="Y58:AD58"/>
    <mergeCell ref="AF58:AL58"/>
    <mergeCell ref="A57:C57"/>
    <mergeCell ref="J57:P57"/>
    <mergeCell ref="Q57:R57"/>
    <mergeCell ref="T57:V57"/>
    <mergeCell ref="Y57:AD57"/>
    <mergeCell ref="AF57:AL57"/>
    <mergeCell ref="A56:C56"/>
    <mergeCell ref="I56:P56"/>
    <mergeCell ref="Q56:R56"/>
    <mergeCell ref="T56:V56"/>
    <mergeCell ref="Y56:AD56"/>
    <mergeCell ref="AF56:AL56"/>
    <mergeCell ref="A67:C67"/>
    <mergeCell ref="M67:P67"/>
    <mergeCell ref="Q67:R67"/>
    <mergeCell ref="T67:V67"/>
    <mergeCell ref="Y67:AD67"/>
    <mergeCell ref="AF67:AL67"/>
    <mergeCell ref="A66:C66"/>
    <mergeCell ref="M66:P66"/>
    <mergeCell ref="Q66:R66"/>
    <mergeCell ref="T66:V66"/>
    <mergeCell ref="Y66:AD66"/>
    <mergeCell ref="AF66:AL66"/>
    <mergeCell ref="A65:C65"/>
    <mergeCell ref="M65:P65"/>
    <mergeCell ref="Q65:R65"/>
    <mergeCell ref="T65:V65"/>
    <mergeCell ref="Y65:AD65"/>
    <mergeCell ref="AF65:AL65"/>
    <mergeCell ref="A64:C64"/>
    <mergeCell ref="M64:P64"/>
    <mergeCell ref="Q64:R64"/>
    <mergeCell ref="T64:V64"/>
    <mergeCell ref="Y64:AD64"/>
    <mergeCell ref="AF64:AL64"/>
    <mergeCell ref="A63:C63"/>
    <mergeCell ref="M63:P63"/>
    <mergeCell ref="Q63:R63"/>
    <mergeCell ref="T63:V63"/>
    <mergeCell ref="Y63:AD63"/>
    <mergeCell ref="AF63:AL63"/>
    <mergeCell ref="A62:C62"/>
    <mergeCell ref="M62:P62"/>
    <mergeCell ref="Q62:R62"/>
    <mergeCell ref="T62:V62"/>
    <mergeCell ref="Y62:AD62"/>
    <mergeCell ref="AF62:AL62"/>
    <mergeCell ref="A73:C73"/>
    <mergeCell ref="M73:P73"/>
    <mergeCell ref="Q73:R73"/>
    <mergeCell ref="T73:V73"/>
    <mergeCell ref="Y73:AD73"/>
    <mergeCell ref="AF73:AL73"/>
    <mergeCell ref="A72:C72"/>
    <mergeCell ref="M72:P72"/>
    <mergeCell ref="Q72:R72"/>
    <mergeCell ref="T72:V72"/>
    <mergeCell ref="Y72:AD72"/>
    <mergeCell ref="AF72:AL72"/>
    <mergeCell ref="A71:C71"/>
    <mergeCell ref="M71:P71"/>
    <mergeCell ref="Q71:R71"/>
    <mergeCell ref="T71:V71"/>
    <mergeCell ref="Y71:AD71"/>
    <mergeCell ref="AF71:AL71"/>
    <mergeCell ref="A70:C70"/>
    <mergeCell ref="M70:P70"/>
    <mergeCell ref="Q70:R70"/>
    <mergeCell ref="T70:V70"/>
    <mergeCell ref="Y70:AD70"/>
    <mergeCell ref="AF70:AL70"/>
    <mergeCell ref="A69:C69"/>
    <mergeCell ref="M69:P69"/>
    <mergeCell ref="Q69:R69"/>
    <mergeCell ref="T69:V69"/>
    <mergeCell ref="Y69:AD69"/>
    <mergeCell ref="AF69:AL69"/>
    <mergeCell ref="A68:C68"/>
    <mergeCell ref="M68:P68"/>
    <mergeCell ref="Q68:R68"/>
    <mergeCell ref="T68:V68"/>
    <mergeCell ref="Y68:AD68"/>
    <mergeCell ref="AF68:AL68"/>
    <mergeCell ref="A79:C79"/>
    <mergeCell ref="M79:P79"/>
    <mergeCell ref="Q79:R79"/>
    <mergeCell ref="T79:V79"/>
    <mergeCell ref="Y79:AD79"/>
    <mergeCell ref="AF79:AL79"/>
    <mergeCell ref="A78:C78"/>
    <mergeCell ref="M78:P78"/>
    <mergeCell ref="Q78:R78"/>
    <mergeCell ref="T78:V78"/>
    <mergeCell ref="Y78:AD78"/>
    <mergeCell ref="AF78:AL78"/>
    <mergeCell ref="A77:C77"/>
    <mergeCell ref="M77:P77"/>
    <mergeCell ref="Q77:R77"/>
    <mergeCell ref="T77:V77"/>
    <mergeCell ref="Y77:AD77"/>
    <mergeCell ref="AF77:AL77"/>
    <mergeCell ref="A76:C76"/>
    <mergeCell ref="M76:P76"/>
    <mergeCell ref="Q76:R76"/>
    <mergeCell ref="T76:V76"/>
    <mergeCell ref="Y76:AD76"/>
    <mergeCell ref="AF76:AL76"/>
    <mergeCell ref="A75:C75"/>
    <mergeCell ref="M75:P75"/>
    <mergeCell ref="Q75:R75"/>
    <mergeCell ref="T75:V75"/>
    <mergeCell ref="Y75:AD75"/>
    <mergeCell ref="AF75:AL75"/>
    <mergeCell ref="A74:C74"/>
    <mergeCell ref="M74:P74"/>
    <mergeCell ref="Q74:R74"/>
    <mergeCell ref="T74:V74"/>
    <mergeCell ref="Y74:AD74"/>
    <mergeCell ref="AF74:AL74"/>
    <mergeCell ref="A85:C85"/>
    <mergeCell ref="M85:P85"/>
    <mergeCell ref="Q85:R85"/>
    <mergeCell ref="T85:V85"/>
    <mergeCell ref="Y85:AD85"/>
    <mergeCell ref="AF85:AL85"/>
    <mergeCell ref="A84:C84"/>
    <mergeCell ref="M84:P84"/>
    <mergeCell ref="Q84:R84"/>
    <mergeCell ref="T84:V84"/>
    <mergeCell ref="Y84:AD84"/>
    <mergeCell ref="AF84:AL84"/>
    <mergeCell ref="A83:C83"/>
    <mergeCell ref="M83:P83"/>
    <mergeCell ref="Q83:R83"/>
    <mergeCell ref="T83:V83"/>
    <mergeCell ref="Y83:AD83"/>
    <mergeCell ref="AF83:AL83"/>
    <mergeCell ref="A82:C82"/>
    <mergeCell ref="M82:P82"/>
    <mergeCell ref="Q82:R82"/>
    <mergeCell ref="T82:V82"/>
    <mergeCell ref="Y82:AD82"/>
    <mergeCell ref="AF82:AL82"/>
    <mergeCell ref="A81:C81"/>
    <mergeCell ref="M81:P81"/>
    <mergeCell ref="Q81:R81"/>
    <mergeCell ref="T81:V81"/>
    <mergeCell ref="Y81:AD81"/>
    <mergeCell ref="AF81:AL81"/>
    <mergeCell ref="A80:C80"/>
    <mergeCell ref="M80:P80"/>
    <mergeCell ref="Q80:R80"/>
    <mergeCell ref="T80:V80"/>
    <mergeCell ref="Y80:AD80"/>
    <mergeCell ref="AF80:AL80"/>
    <mergeCell ref="A91:C91"/>
    <mergeCell ref="M91:P91"/>
    <mergeCell ref="Q91:R91"/>
    <mergeCell ref="T91:V91"/>
    <mergeCell ref="Y91:AD91"/>
    <mergeCell ref="AF91:AL91"/>
    <mergeCell ref="A90:C90"/>
    <mergeCell ref="M90:P90"/>
    <mergeCell ref="Q90:R90"/>
    <mergeCell ref="T90:V90"/>
    <mergeCell ref="Y90:AD90"/>
    <mergeCell ref="AF90:AL90"/>
    <mergeCell ref="A89:C89"/>
    <mergeCell ref="M89:P89"/>
    <mergeCell ref="Q89:R89"/>
    <mergeCell ref="T89:V89"/>
    <mergeCell ref="Y89:AD89"/>
    <mergeCell ref="AF89:AL89"/>
    <mergeCell ref="A88:C88"/>
    <mergeCell ref="M88:P88"/>
    <mergeCell ref="Q88:R88"/>
    <mergeCell ref="T88:V88"/>
    <mergeCell ref="Y88:AD88"/>
    <mergeCell ref="AF88:AL88"/>
    <mergeCell ref="A87:C87"/>
    <mergeCell ref="M87:P87"/>
    <mergeCell ref="Q87:R87"/>
    <mergeCell ref="T87:V87"/>
    <mergeCell ref="Y87:AD87"/>
    <mergeCell ref="AF87:AL87"/>
    <mergeCell ref="A86:C86"/>
    <mergeCell ref="M86:P86"/>
    <mergeCell ref="Q86:R86"/>
    <mergeCell ref="T86:V86"/>
    <mergeCell ref="Y86:AD86"/>
    <mergeCell ref="AF86:AL86"/>
    <mergeCell ref="A97:C97"/>
    <mergeCell ref="J97:P97"/>
    <mergeCell ref="Q97:R97"/>
    <mergeCell ref="T97:V97"/>
    <mergeCell ref="Y97:AD97"/>
    <mergeCell ref="AF97:AL97"/>
    <mergeCell ref="A96:C96"/>
    <mergeCell ref="I96:P96"/>
    <mergeCell ref="Q96:R96"/>
    <mergeCell ref="T96:V96"/>
    <mergeCell ref="Y96:AD96"/>
    <mergeCell ref="AF96:AL96"/>
    <mergeCell ref="A95:C95"/>
    <mergeCell ref="M95:P95"/>
    <mergeCell ref="Q95:R95"/>
    <mergeCell ref="T95:V95"/>
    <mergeCell ref="Y95:AD95"/>
    <mergeCell ref="AF95:AL95"/>
    <mergeCell ref="A94:C94"/>
    <mergeCell ref="L94:P94"/>
    <mergeCell ref="Q94:R94"/>
    <mergeCell ref="T94:V94"/>
    <mergeCell ref="Y94:AD94"/>
    <mergeCell ref="AF94:AL94"/>
    <mergeCell ref="A93:C93"/>
    <mergeCell ref="K93:P93"/>
    <mergeCell ref="Q93:R93"/>
    <mergeCell ref="T93:V93"/>
    <mergeCell ref="Y93:AD93"/>
    <mergeCell ref="AF93:AL93"/>
    <mergeCell ref="A92:C92"/>
    <mergeCell ref="M92:P92"/>
    <mergeCell ref="Q92:R92"/>
    <mergeCell ref="T92:V92"/>
    <mergeCell ref="Y92:AD92"/>
    <mergeCell ref="AF92:AL92"/>
    <mergeCell ref="A103:C103"/>
    <mergeCell ref="M103:P103"/>
    <mergeCell ref="Q103:R103"/>
    <mergeCell ref="T103:V103"/>
    <mergeCell ref="Y103:AD103"/>
    <mergeCell ref="AF103:AL103"/>
    <mergeCell ref="A102:C102"/>
    <mergeCell ref="M102:P102"/>
    <mergeCell ref="Q102:R102"/>
    <mergeCell ref="T102:V102"/>
    <mergeCell ref="Y102:AD102"/>
    <mergeCell ref="AF102:AL102"/>
    <mergeCell ref="A101:C101"/>
    <mergeCell ref="L101:P101"/>
    <mergeCell ref="Q101:R101"/>
    <mergeCell ref="T101:V101"/>
    <mergeCell ref="Y101:AD101"/>
    <mergeCell ref="AF101:AL101"/>
    <mergeCell ref="A100:C100"/>
    <mergeCell ref="M100:P100"/>
    <mergeCell ref="Q100:R100"/>
    <mergeCell ref="T100:V100"/>
    <mergeCell ref="Y100:AD100"/>
    <mergeCell ref="AF100:AL100"/>
    <mergeCell ref="A99:C99"/>
    <mergeCell ref="L99:P99"/>
    <mergeCell ref="Q99:R99"/>
    <mergeCell ref="T99:V99"/>
    <mergeCell ref="Y99:AD99"/>
    <mergeCell ref="AF99:AL99"/>
    <mergeCell ref="A98:C98"/>
    <mergeCell ref="K98:P98"/>
    <mergeCell ref="Q98:R98"/>
    <mergeCell ref="T98:V98"/>
    <mergeCell ref="Y98:AD98"/>
    <mergeCell ref="AF98:AL98"/>
    <mergeCell ref="A109:C109"/>
    <mergeCell ref="H109:P109"/>
    <mergeCell ref="Q109:R109"/>
    <mergeCell ref="T109:V109"/>
    <mergeCell ref="Y109:AD109"/>
    <mergeCell ref="AF109:AL109"/>
    <mergeCell ref="A108:C108"/>
    <mergeCell ref="M108:P108"/>
    <mergeCell ref="Q108:R108"/>
    <mergeCell ref="T108:V108"/>
    <mergeCell ref="Y108:AD108"/>
    <mergeCell ref="AF108:AL108"/>
    <mergeCell ref="A107:C107"/>
    <mergeCell ref="M107:P107"/>
    <mergeCell ref="Q107:R107"/>
    <mergeCell ref="T107:V107"/>
    <mergeCell ref="Y107:AD107"/>
    <mergeCell ref="AF107:AL107"/>
    <mergeCell ref="A106:C106"/>
    <mergeCell ref="M106:P106"/>
    <mergeCell ref="Q106:R106"/>
    <mergeCell ref="T106:V106"/>
    <mergeCell ref="Y106:AD106"/>
    <mergeCell ref="AF106:AL106"/>
    <mergeCell ref="A105:C105"/>
    <mergeCell ref="M105:P105"/>
    <mergeCell ref="Q105:R105"/>
    <mergeCell ref="T105:V105"/>
    <mergeCell ref="Y105:AD105"/>
    <mergeCell ref="AF105:AL105"/>
    <mergeCell ref="A104:C104"/>
    <mergeCell ref="M104:P104"/>
    <mergeCell ref="Q104:R104"/>
    <mergeCell ref="T104:V104"/>
    <mergeCell ref="Y104:AD104"/>
    <mergeCell ref="AF104:AL104"/>
    <mergeCell ref="A115:C115"/>
    <mergeCell ref="M115:P115"/>
    <mergeCell ref="Q115:R115"/>
    <mergeCell ref="T115:V115"/>
    <mergeCell ref="Y115:AD115"/>
    <mergeCell ref="AF115:AL115"/>
    <mergeCell ref="A114:C114"/>
    <mergeCell ref="J114:P114"/>
    <mergeCell ref="Q114:R114"/>
    <mergeCell ref="T114:V114"/>
    <mergeCell ref="Y114:AD114"/>
    <mergeCell ref="AF114:AL114"/>
    <mergeCell ref="A113:C113"/>
    <mergeCell ref="I113:P113"/>
    <mergeCell ref="Q113:R113"/>
    <mergeCell ref="T113:V113"/>
    <mergeCell ref="Y113:AD113"/>
    <mergeCell ref="AF113:AL113"/>
    <mergeCell ref="A112:C112"/>
    <mergeCell ref="M112:P112"/>
    <mergeCell ref="Q112:R112"/>
    <mergeCell ref="T112:V112"/>
    <mergeCell ref="Y112:AD112"/>
    <mergeCell ref="AF112:AL112"/>
    <mergeCell ref="A111:C111"/>
    <mergeCell ref="J111:P111"/>
    <mergeCell ref="Q111:R111"/>
    <mergeCell ref="T111:V111"/>
    <mergeCell ref="Y111:AD111"/>
    <mergeCell ref="AF111:AL111"/>
    <mergeCell ref="A110:C110"/>
    <mergeCell ref="I110:P110"/>
    <mergeCell ref="Q110:R110"/>
    <mergeCell ref="T110:V110"/>
    <mergeCell ref="Y110:AD110"/>
    <mergeCell ref="AF110:AL110"/>
    <mergeCell ref="A121:C121"/>
    <mergeCell ref="M121:P121"/>
    <mergeCell ref="Q121:R121"/>
    <mergeCell ref="T121:V121"/>
    <mergeCell ref="Y121:AD121"/>
    <mergeCell ref="AF121:AL121"/>
    <mergeCell ref="A120:C120"/>
    <mergeCell ref="L120:P120"/>
    <mergeCell ref="Q120:R120"/>
    <mergeCell ref="T120:V120"/>
    <mergeCell ref="Y120:AD120"/>
    <mergeCell ref="AF120:AL120"/>
    <mergeCell ref="A119:C119"/>
    <mergeCell ref="K119:P119"/>
    <mergeCell ref="Q119:R119"/>
    <mergeCell ref="T119:V119"/>
    <mergeCell ref="Y119:AD119"/>
    <mergeCell ref="AF119:AL119"/>
    <mergeCell ref="A118:C118"/>
    <mergeCell ref="J118:P118"/>
    <mergeCell ref="Q118:R118"/>
    <mergeCell ref="T118:V118"/>
    <mergeCell ref="Y118:AD118"/>
    <mergeCell ref="AF118:AL118"/>
    <mergeCell ref="A117:C117"/>
    <mergeCell ref="I117:P117"/>
    <mergeCell ref="Q117:R117"/>
    <mergeCell ref="T117:V117"/>
    <mergeCell ref="Y117:AD117"/>
    <mergeCell ref="AF117:AL117"/>
    <mergeCell ref="A116:C116"/>
    <mergeCell ref="H116:P116"/>
    <mergeCell ref="Q116:R116"/>
    <mergeCell ref="T116:V116"/>
    <mergeCell ref="Y116:AD116"/>
    <mergeCell ref="AF116:AL116"/>
    <mergeCell ref="A127:C127"/>
    <mergeCell ref="K127:P127"/>
    <mergeCell ref="Q127:R127"/>
    <mergeCell ref="T127:V127"/>
    <mergeCell ref="Y127:AD127"/>
    <mergeCell ref="AF127:AL127"/>
    <mergeCell ref="A126:C126"/>
    <mergeCell ref="J126:P126"/>
    <mergeCell ref="Q126:R126"/>
    <mergeCell ref="T126:V126"/>
    <mergeCell ref="Y126:AD126"/>
    <mergeCell ref="AF126:AL126"/>
    <mergeCell ref="A125:C125"/>
    <mergeCell ref="M125:P125"/>
    <mergeCell ref="Q125:R125"/>
    <mergeCell ref="T125:V125"/>
    <mergeCell ref="Y125:AD125"/>
    <mergeCell ref="AF125:AL125"/>
    <mergeCell ref="A124:C124"/>
    <mergeCell ref="L124:P124"/>
    <mergeCell ref="Q124:R124"/>
    <mergeCell ref="T124:V124"/>
    <mergeCell ref="Y124:AD124"/>
    <mergeCell ref="AF124:AL124"/>
    <mergeCell ref="A123:C123"/>
    <mergeCell ref="M123:P123"/>
    <mergeCell ref="Q123:R123"/>
    <mergeCell ref="T123:V123"/>
    <mergeCell ref="Y123:AD123"/>
    <mergeCell ref="AF123:AL123"/>
    <mergeCell ref="A122:C122"/>
    <mergeCell ref="M122:P122"/>
    <mergeCell ref="Q122:R122"/>
    <mergeCell ref="T122:V122"/>
    <mergeCell ref="Y122:AD122"/>
    <mergeCell ref="AF122:AL122"/>
    <mergeCell ref="A133:C133"/>
    <mergeCell ref="K133:P133"/>
    <mergeCell ref="Q133:R133"/>
    <mergeCell ref="T133:V133"/>
    <mergeCell ref="Y133:AD133"/>
    <mergeCell ref="AF133:AL133"/>
    <mergeCell ref="A132:C132"/>
    <mergeCell ref="J132:P132"/>
    <mergeCell ref="Q132:R132"/>
    <mergeCell ref="T132:V132"/>
    <mergeCell ref="Y132:AD132"/>
    <mergeCell ref="AF132:AL132"/>
    <mergeCell ref="A131:C131"/>
    <mergeCell ref="M131:P131"/>
    <mergeCell ref="Q131:R131"/>
    <mergeCell ref="T131:V131"/>
    <mergeCell ref="Y131:AD131"/>
    <mergeCell ref="AF131:AL131"/>
    <mergeCell ref="A130:C130"/>
    <mergeCell ref="M130:P130"/>
    <mergeCell ref="Q130:R130"/>
    <mergeCell ref="T130:V130"/>
    <mergeCell ref="Y130:AD130"/>
    <mergeCell ref="AF130:AL130"/>
    <mergeCell ref="A129:C129"/>
    <mergeCell ref="M129:P129"/>
    <mergeCell ref="Q129:R129"/>
    <mergeCell ref="T129:V129"/>
    <mergeCell ref="Y129:AD129"/>
    <mergeCell ref="AF129:AL129"/>
    <mergeCell ref="A128:C128"/>
    <mergeCell ref="L128:P128"/>
    <mergeCell ref="Q128:R128"/>
    <mergeCell ref="T128:V128"/>
    <mergeCell ref="Y128:AD128"/>
    <mergeCell ref="AF128:AL128"/>
    <mergeCell ref="A139:C139"/>
    <mergeCell ref="M139:P139"/>
    <mergeCell ref="Q139:R139"/>
    <mergeCell ref="T139:V139"/>
    <mergeCell ref="Y139:AD139"/>
    <mergeCell ref="AF139:AL139"/>
    <mergeCell ref="A138:C138"/>
    <mergeCell ref="M138:P138"/>
    <mergeCell ref="Q138:R138"/>
    <mergeCell ref="T138:V138"/>
    <mergeCell ref="Y138:AD138"/>
    <mergeCell ref="AF138:AL138"/>
    <mergeCell ref="A137:C137"/>
    <mergeCell ref="M137:P137"/>
    <mergeCell ref="Q137:R137"/>
    <mergeCell ref="T137:V137"/>
    <mergeCell ref="Y137:AD137"/>
    <mergeCell ref="AF137:AL137"/>
    <mergeCell ref="A136:C136"/>
    <mergeCell ref="M136:P136"/>
    <mergeCell ref="Q136:R136"/>
    <mergeCell ref="T136:V136"/>
    <mergeCell ref="Y136:AD136"/>
    <mergeCell ref="AF136:AL136"/>
    <mergeCell ref="A135:C135"/>
    <mergeCell ref="M135:P135"/>
    <mergeCell ref="Q135:R135"/>
    <mergeCell ref="T135:V135"/>
    <mergeCell ref="Y135:AD135"/>
    <mergeCell ref="AF135:AL135"/>
    <mergeCell ref="A134:C134"/>
    <mergeCell ref="L134:P134"/>
    <mergeCell ref="Q134:R134"/>
    <mergeCell ref="T134:V134"/>
    <mergeCell ref="Y134:AD134"/>
    <mergeCell ref="AF134:AL134"/>
    <mergeCell ref="A145:C145"/>
    <mergeCell ref="L145:P145"/>
    <mergeCell ref="Q145:R145"/>
    <mergeCell ref="T145:V145"/>
    <mergeCell ref="Y145:AD145"/>
    <mergeCell ref="AF145:AL145"/>
    <mergeCell ref="A144:C144"/>
    <mergeCell ref="K144:P144"/>
    <mergeCell ref="Q144:R144"/>
    <mergeCell ref="T144:V144"/>
    <mergeCell ref="Y144:AD144"/>
    <mergeCell ref="AF144:AL144"/>
    <mergeCell ref="A143:C143"/>
    <mergeCell ref="J143:P143"/>
    <mergeCell ref="Q143:R143"/>
    <mergeCell ref="T143:V143"/>
    <mergeCell ref="Y143:AD143"/>
    <mergeCell ref="AF143:AL143"/>
    <mergeCell ref="A142:C142"/>
    <mergeCell ref="M142:P142"/>
    <mergeCell ref="Q142:R142"/>
    <mergeCell ref="T142:V142"/>
    <mergeCell ref="Y142:AD142"/>
    <mergeCell ref="AF142:AL142"/>
    <mergeCell ref="A141:C141"/>
    <mergeCell ref="L141:P141"/>
    <mergeCell ref="Q141:R141"/>
    <mergeCell ref="T141:V141"/>
    <mergeCell ref="Y141:AD141"/>
    <mergeCell ref="AF141:AL141"/>
    <mergeCell ref="A140:C140"/>
    <mergeCell ref="M140:P140"/>
    <mergeCell ref="Q140:R140"/>
    <mergeCell ref="T140:V140"/>
    <mergeCell ref="Y140:AD140"/>
    <mergeCell ref="AF140:AL140"/>
    <mergeCell ref="A151:C151"/>
    <mergeCell ref="J151:P151"/>
    <mergeCell ref="Q151:R151"/>
    <mergeCell ref="T151:V151"/>
    <mergeCell ref="Y151:AD151"/>
    <mergeCell ref="AF151:AL151"/>
    <mergeCell ref="A150:C150"/>
    <mergeCell ref="M150:P150"/>
    <mergeCell ref="Q150:R150"/>
    <mergeCell ref="T150:V150"/>
    <mergeCell ref="Y150:AD150"/>
    <mergeCell ref="AF150:AL150"/>
    <mergeCell ref="A149:C149"/>
    <mergeCell ref="L149:P149"/>
    <mergeCell ref="Q149:R149"/>
    <mergeCell ref="T149:V149"/>
    <mergeCell ref="Y149:AD149"/>
    <mergeCell ref="AF149:AL149"/>
    <mergeCell ref="A148:C148"/>
    <mergeCell ref="K148:P148"/>
    <mergeCell ref="Q148:R148"/>
    <mergeCell ref="T148:V148"/>
    <mergeCell ref="Y148:AD148"/>
    <mergeCell ref="AF148:AL148"/>
    <mergeCell ref="A147:C147"/>
    <mergeCell ref="J147:P147"/>
    <mergeCell ref="Q147:R147"/>
    <mergeCell ref="T147:V147"/>
    <mergeCell ref="Y147:AD147"/>
    <mergeCell ref="AF147:AL147"/>
    <mergeCell ref="A146:C146"/>
    <mergeCell ref="M146:P146"/>
    <mergeCell ref="Q146:R146"/>
    <mergeCell ref="T146:V146"/>
    <mergeCell ref="Y146:AD146"/>
    <mergeCell ref="AF146:AL146"/>
    <mergeCell ref="A157:C157"/>
    <mergeCell ref="M157:P157"/>
    <mergeCell ref="Q157:R157"/>
    <mergeCell ref="T157:V157"/>
    <mergeCell ref="Y157:AD157"/>
    <mergeCell ref="AF157:AL157"/>
    <mergeCell ref="A156:C156"/>
    <mergeCell ref="L156:P156"/>
    <mergeCell ref="Q156:R156"/>
    <mergeCell ref="T156:V156"/>
    <mergeCell ref="Y156:AD156"/>
    <mergeCell ref="AF156:AL156"/>
    <mergeCell ref="A155:C155"/>
    <mergeCell ref="M155:P155"/>
    <mergeCell ref="Q155:R155"/>
    <mergeCell ref="T155:V155"/>
    <mergeCell ref="Y155:AD155"/>
    <mergeCell ref="AF155:AL155"/>
    <mergeCell ref="A154:C154"/>
    <mergeCell ref="M154:P154"/>
    <mergeCell ref="Q154:R154"/>
    <mergeCell ref="T154:V154"/>
    <mergeCell ref="Y154:AD154"/>
    <mergeCell ref="AF154:AL154"/>
    <mergeCell ref="A153:C153"/>
    <mergeCell ref="L153:P153"/>
    <mergeCell ref="Q153:R153"/>
    <mergeCell ref="T153:V153"/>
    <mergeCell ref="Y153:AD153"/>
    <mergeCell ref="AF153:AL153"/>
    <mergeCell ref="A152:C152"/>
    <mergeCell ref="K152:P152"/>
    <mergeCell ref="Q152:R152"/>
    <mergeCell ref="T152:V152"/>
    <mergeCell ref="Y152:AD152"/>
    <mergeCell ref="AF152:AL152"/>
    <mergeCell ref="A163:C163"/>
    <mergeCell ref="K163:P163"/>
    <mergeCell ref="Q163:R163"/>
    <mergeCell ref="T163:V163"/>
    <mergeCell ref="Y163:AD163"/>
    <mergeCell ref="AF163:AL163"/>
    <mergeCell ref="A162:C162"/>
    <mergeCell ref="J162:P162"/>
    <mergeCell ref="Q162:R162"/>
    <mergeCell ref="T162:V162"/>
    <mergeCell ref="Y162:AD162"/>
    <mergeCell ref="AF162:AL162"/>
    <mergeCell ref="A161:C161"/>
    <mergeCell ref="I161:P161"/>
    <mergeCell ref="Q161:R161"/>
    <mergeCell ref="T161:V161"/>
    <mergeCell ref="Y161:AD161"/>
    <mergeCell ref="AF161:AL161"/>
    <mergeCell ref="A160:C160"/>
    <mergeCell ref="H160:P160"/>
    <mergeCell ref="Q160:R160"/>
    <mergeCell ref="T160:V160"/>
    <mergeCell ref="Y160:AD160"/>
    <mergeCell ref="AF160:AL160"/>
    <mergeCell ref="A159:C159"/>
    <mergeCell ref="M159:P159"/>
    <mergeCell ref="Q159:R159"/>
    <mergeCell ref="T159:V159"/>
    <mergeCell ref="Y159:AD159"/>
    <mergeCell ref="AF159:AL159"/>
    <mergeCell ref="A158:C158"/>
    <mergeCell ref="K158:P158"/>
    <mergeCell ref="Q158:R158"/>
    <mergeCell ref="T158:V158"/>
    <mergeCell ref="Y158:AD158"/>
    <mergeCell ref="AF158:AL158"/>
    <mergeCell ref="A169:C169"/>
    <mergeCell ref="I169:P169"/>
    <mergeCell ref="Q169:R169"/>
    <mergeCell ref="T169:V169"/>
    <mergeCell ref="Y169:AD169"/>
    <mergeCell ref="AF169:AL169"/>
    <mergeCell ref="A168:C168"/>
    <mergeCell ref="M168:P168"/>
    <mergeCell ref="Q168:R168"/>
    <mergeCell ref="T168:V168"/>
    <mergeCell ref="Y168:AD168"/>
    <mergeCell ref="AF168:AL168"/>
    <mergeCell ref="A167:C167"/>
    <mergeCell ref="K167:P167"/>
    <mergeCell ref="Q167:R167"/>
    <mergeCell ref="T167:V167"/>
    <mergeCell ref="Y167:AD167"/>
    <mergeCell ref="AF167:AL167"/>
    <mergeCell ref="A166:C166"/>
    <mergeCell ref="M166:P166"/>
    <mergeCell ref="Q166:R166"/>
    <mergeCell ref="T166:V166"/>
    <mergeCell ref="Y166:AD166"/>
    <mergeCell ref="AF166:AL166"/>
    <mergeCell ref="A165:C165"/>
    <mergeCell ref="M165:P165"/>
    <mergeCell ref="Q165:R165"/>
    <mergeCell ref="T165:V165"/>
    <mergeCell ref="Y165:AD165"/>
    <mergeCell ref="AF165:AL165"/>
    <mergeCell ref="A164:C164"/>
    <mergeCell ref="M164:P164"/>
    <mergeCell ref="Q164:R164"/>
    <mergeCell ref="T164:V164"/>
    <mergeCell ref="Y164:AD164"/>
    <mergeCell ref="AF164:AL164"/>
    <mergeCell ref="A175:C175"/>
    <mergeCell ref="K175:P175"/>
    <mergeCell ref="Q175:R175"/>
    <mergeCell ref="T175:V175"/>
    <mergeCell ref="Y175:AD175"/>
    <mergeCell ref="AF175:AL175"/>
    <mergeCell ref="A174:C174"/>
    <mergeCell ref="J174:P174"/>
    <mergeCell ref="Q174:R174"/>
    <mergeCell ref="T174:V174"/>
    <mergeCell ref="Y174:AD174"/>
    <mergeCell ref="AF174:AL174"/>
    <mergeCell ref="A173:C173"/>
    <mergeCell ref="I173:P173"/>
    <mergeCell ref="Q173:R173"/>
    <mergeCell ref="T173:V173"/>
    <mergeCell ref="Y173:AD173"/>
    <mergeCell ref="AF173:AL173"/>
    <mergeCell ref="A172:C172"/>
    <mergeCell ref="H172:P172"/>
    <mergeCell ref="Q172:R172"/>
    <mergeCell ref="T172:V172"/>
    <mergeCell ref="Y172:AD172"/>
    <mergeCell ref="AF172:AL172"/>
    <mergeCell ref="A171:C171"/>
    <mergeCell ref="M171:P171"/>
    <mergeCell ref="Q171:R171"/>
    <mergeCell ref="T171:V171"/>
    <mergeCell ref="Y171:AD171"/>
    <mergeCell ref="AF171:AL171"/>
    <mergeCell ref="A170:C170"/>
    <mergeCell ref="J170:P170"/>
    <mergeCell ref="Q170:R170"/>
    <mergeCell ref="T170:V170"/>
    <mergeCell ref="Y170:AD170"/>
    <mergeCell ref="AF170:AL170"/>
    <mergeCell ref="A181:C181"/>
    <mergeCell ref="L181:P181"/>
    <mergeCell ref="Q181:R181"/>
    <mergeCell ref="T181:V181"/>
    <mergeCell ref="Y181:AD181"/>
    <mergeCell ref="AF181:AL181"/>
    <mergeCell ref="A180:C180"/>
    <mergeCell ref="M180:P180"/>
    <mergeCell ref="Q180:R180"/>
    <mergeCell ref="T180:V180"/>
    <mergeCell ref="Y180:AD180"/>
    <mergeCell ref="AF180:AL180"/>
    <mergeCell ref="A179:C179"/>
    <mergeCell ref="M179:P179"/>
    <mergeCell ref="Q179:R179"/>
    <mergeCell ref="T179:V179"/>
    <mergeCell ref="Y179:AD179"/>
    <mergeCell ref="AF179:AL179"/>
    <mergeCell ref="A178:C178"/>
    <mergeCell ref="M178:P178"/>
    <mergeCell ref="Q178:R178"/>
    <mergeCell ref="T178:V178"/>
    <mergeCell ref="Y178:AD178"/>
    <mergeCell ref="AF178:AL178"/>
    <mergeCell ref="A177:C177"/>
    <mergeCell ref="M177:P177"/>
    <mergeCell ref="Q177:R177"/>
    <mergeCell ref="T177:V177"/>
    <mergeCell ref="Y177:AD177"/>
    <mergeCell ref="AF177:AL177"/>
    <mergeCell ref="A176:C176"/>
    <mergeCell ref="L176:P176"/>
    <mergeCell ref="Q176:R176"/>
    <mergeCell ref="T176:V176"/>
    <mergeCell ref="Y176:AD176"/>
    <mergeCell ref="AF176:AL176"/>
    <mergeCell ref="A187:C187"/>
    <mergeCell ref="L187:P187"/>
    <mergeCell ref="Q187:R187"/>
    <mergeCell ref="T187:V187"/>
    <mergeCell ref="Y187:AD187"/>
    <mergeCell ref="AF187:AL187"/>
    <mergeCell ref="A186:C186"/>
    <mergeCell ref="K186:P186"/>
    <mergeCell ref="Q186:R186"/>
    <mergeCell ref="T186:V186"/>
    <mergeCell ref="Y186:AD186"/>
    <mergeCell ref="AF186:AL186"/>
    <mergeCell ref="A185:C185"/>
    <mergeCell ref="J185:P185"/>
    <mergeCell ref="Q185:R185"/>
    <mergeCell ref="T185:V185"/>
    <mergeCell ref="Y185:AD185"/>
    <mergeCell ref="AF185:AL185"/>
    <mergeCell ref="A184:C184"/>
    <mergeCell ref="I184:P184"/>
    <mergeCell ref="Q184:R184"/>
    <mergeCell ref="T184:V184"/>
    <mergeCell ref="Y184:AD184"/>
    <mergeCell ref="AF184:AL184"/>
    <mergeCell ref="A183:C183"/>
    <mergeCell ref="H183:P183"/>
    <mergeCell ref="Q183:R183"/>
    <mergeCell ref="T183:V183"/>
    <mergeCell ref="Y183:AD183"/>
    <mergeCell ref="AF183:AL183"/>
    <mergeCell ref="A182:C182"/>
    <mergeCell ref="M182:P182"/>
    <mergeCell ref="Q182:R182"/>
    <mergeCell ref="T182:V182"/>
    <mergeCell ref="Y182:AD182"/>
    <mergeCell ref="AF182:AL182"/>
    <mergeCell ref="A193:C193"/>
    <mergeCell ref="M193:P193"/>
    <mergeCell ref="Q193:R193"/>
    <mergeCell ref="T193:V193"/>
    <mergeCell ref="Y193:AD193"/>
    <mergeCell ref="AF193:AL193"/>
    <mergeCell ref="A192:C192"/>
    <mergeCell ref="M192:P192"/>
    <mergeCell ref="Q192:R192"/>
    <mergeCell ref="T192:V192"/>
    <mergeCell ref="Y192:AD192"/>
    <mergeCell ref="AF192:AL192"/>
    <mergeCell ref="A191:C191"/>
    <mergeCell ref="M191:P191"/>
    <mergeCell ref="Q191:R191"/>
    <mergeCell ref="T191:V191"/>
    <mergeCell ref="Y191:AD191"/>
    <mergeCell ref="AF191:AL191"/>
    <mergeCell ref="A190:C190"/>
    <mergeCell ref="M190:P190"/>
    <mergeCell ref="Q190:R190"/>
    <mergeCell ref="T190:V190"/>
    <mergeCell ref="Y190:AD190"/>
    <mergeCell ref="AF190:AL190"/>
    <mergeCell ref="A189:C189"/>
    <mergeCell ref="M189:P189"/>
    <mergeCell ref="Q189:R189"/>
    <mergeCell ref="T189:V189"/>
    <mergeCell ref="Y189:AD189"/>
    <mergeCell ref="AF189:AL189"/>
    <mergeCell ref="A188:C188"/>
    <mergeCell ref="M188:P188"/>
    <mergeCell ref="Q188:R188"/>
    <mergeCell ref="T188:V188"/>
    <mergeCell ref="Y188:AD188"/>
    <mergeCell ref="AF188:AL188"/>
    <mergeCell ref="A199:C199"/>
    <mergeCell ref="K199:P199"/>
    <mergeCell ref="Q199:R199"/>
    <mergeCell ref="T199:V199"/>
    <mergeCell ref="Y199:AD199"/>
    <mergeCell ref="AF199:AL199"/>
    <mergeCell ref="A198:C198"/>
    <mergeCell ref="J198:P198"/>
    <mergeCell ref="Q198:R198"/>
    <mergeCell ref="T198:V198"/>
    <mergeCell ref="Y198:AD198"/>
    <mergeCell ref="AF198:AL198"/>
    <mergeCell ref="A197:C197"/>
    <mergeCell ref="M197:P197"/>
    <mergeCell ref="Q197:R197"/>
    <mergeCell ref="T197:V197"/>
    <mergeCell ref="Y197:AD197"/>
    <mergeCell ref="AF197:AL197"/>
    <mergeCell ref="A196:C196"/>
    <mergeCell ref="L196:P196"/>
    <mergeCell ref="Q196:R196"/>
    <mergeCell ref="T196:V196"/>
    <mergeCell ref="Y196:AD196"/>
    <mergeCell ref="AF196:AL196"/>
    <mergeCell ref="A195:C195"/>
    <mergeCell ref="M195:P195"/>
    <mergeCell ref="Q195:R195"/>
    <mergeCell ref="T195:V195"/>
    <mergeCell ref="Y195:AD195"/>
    <mergeCell ref="AF195:AL195"/>
    <mergeCell ref="A194:C194"/>
    <mergeCell ref="M194:P194"/>
    <mergeCell ref="Q194:R194"/>
    <mergeCell ref="T194:V194"/>
    <mergeCell ref="Y194:AD194"/>
    <mergeCell ref="AF194:AL194"/>
    <mergeCell ref="A205:C205"/>
    <mergeCell ref="J205:P205"/>
    <mergeCell ref="Q205:R205"/>
    <mergeCell ref="T205:V205"/>
    <mergeCell ref="Y205:AD205"/>
    <mergeCell ref="AF205:AL205"/>
    <mergeCell ref="A204:C204"/>
    <mergeCell ref="M204:P204"/>
    <mergeCell ref="Q204:R204"/>
    <mergeCell ref="T204:V204"/>
    <mergeCell ref="Y204:AD204"/>
    <mergeCell ref="AF204:AL204"/>
    <mergeCell ref="A203:C203"/>
    <mergeCell ref="L203:P203"/>
    <mergeCell ref="Q203:R203"/>
    <mergeCell ref="T203:V203"/>
    <mergeCell ref="Y203:AD203"/>
    <mergeCell ref="AF203:AL203"/>
    <mergeCell ref="A202:C202"/>
    <mergeCell ref="K202:P202"/>
    <mergeCell ref="Q202:R202"/>
    <mergeCell ref="T202:V202"/>
    <mergeCell ref="Y202:AD202"/>
    <mergeCell ref="AF202:AL202"/>
    <mergeCell ref="A201:C201"/>
    <mergeCell ref="M201:P201"/>
    <mergeCell ref="Q201:R201"/>
    <mergeCell ref="T201:V201"/>
    <mergeCell ref="Y201:AD201"/>
    <mergeCell ref="AF201:AL201"/>
    <mergeCell ref="A200:C200"/>
    <mergeCell ref="L200:P200"/>
    <mergeCell ref="Q200:R200"/>
    <mergeCell ref="T200:V200"/>
    <mergeCell ref="Y200:AD200"/>
    <mergeCell ref="AF200:AL200"/>
    <mergeCell ref="A211:C211"/>
    <mergeCell ref="M211:P211"/>
    <mergeCell ref="Q211:R211"/>
    <mergeCell ref="T211:V211"/>
    <mergeCell ref="Y211:AD211"/>
    <mergeCell ref="AF211:AL211"/>
    <mergeCell ref="A210:C210"/>
    <mergeCell ref="L210:P210"/>
    <mergeCell ref="Q210:R210"/>
    <mergeCell ref="T210:V210"/>
    <mergeCell ref="Y210:AD210"/>
    <mergeCell ref="AF210:AL210"/>
    <mergeCell ref="A209:C209"/>
    <mergeCell ref="K209:P209"/>
    <mergeCell ref="Q209:R209"/>
    <mergeCell ref="T209:V209"/>
    <mergeCell ref="Y209:AD209"/>
    <mergeCell ref="AF209:AL209"/>
    <mergeCell ref="A208:C208"/>
    <mergeCell ref="J208:P208"/>
    <mergeCell ref="Q208:R208"/>
    <mergeCell ref="T208:V208"/>
    <mergeCell ref="Y208:AD208"/>
    <mergeCell ref="AF208:AL208"/>
    <mergeCell ref="A207:C207"/>
    <mergeCell ref="M207:P207"/>
    <mergeCell ref="Q207:R207"/>
    <mergeCell ref="T207:V207"/>
    <mergeCell ref="Y207:AD207"/>
    <mergeCell ref="AF207:AL207"/>
    <mergeCell ref="A206:C206"/>
    <mergeCell ref="M206:P206"/>
    <mergeCell ref="Q206:R206"/>
    <mergeCell ref="T206:V206"/>
    <mergeCell ref="Y206:AD206"/>
    <mergeCell ref="AF206:AL206"/>
    <mergeCell ref="A217:C217"/>
    <mergeCell ref="M217:P217"/>
    <mergeCell ref="Q217:R217"/>
    <mergeCell ref="T217:V217"/>
    <mergeCell ref="Y217:AD217"/>
    <mergeCell ref="AF217:AL217"/>
    <mergeCell ref="A216:C216"/>
    <mergeCell ref="M216:P216"/>
    <mergeCell ref="Q216:R216"/>
    <mergeCell ref="T216:V216"/>
    <mergeCell ref="Y216:AD216"/>
    <mergeCell ref="AF216:AL216"/>
    <mergeCell ref="A215:C215"/>
    <mergeCell ref="M215:P215"/>
    <mergeCell ref="Q215:R215"/>
    <mergeCell ref="T215:V215"/>
    <mergeCell ref="Y215:AD215"/>
    <mergeCell ref="AF215:AL215"/>
    <mergeCell ref="A214:C214"/>
    <mergeCell ref="M214:P214"/>
    <mergeCell ref="Q214:R214"/>
    <mergeCell ref="T214:V214"/>
    <mergeCell ref="Y214:AD214"/>
    <mergeCell ref="AF214:AL214"/>
    <mergeCell ref="A213:C213"/>
    <mergeCell ref="M213:P213"/>
    <mergeCell ref="Q213:R213"/>
    <mergeCell ref="T213:V213"/>
    <mergeCell ref="Y213:AD213"/>
    <mergeCell ref="AF213:AL213"/>
    <mergeCell ref="A212:C212"/>
    <mergeCell ref="L212:P212"/>
    <mergeCell ref="Q212:R212"/>
    <mergeCell ref="T212:V212"/>
    <mergeCell ref="Y212:AD212"/>
    <mergeCell ref="AF212:AL212"/>
    <mergeCell ref="A223:C223"/>
    <mergeCell ref="K223:P223"/>
    <mergeCell ref="Q223:R223"/>
    <mergeCell ref="T223:V223"/>
    <mergeCell ref="Y223:AD223"/>
    <mergeCell ref="AF223:AL223"/>
    <mergeCell ref="A222:C222"/>
    <mergeCell ref="J222:P222"/>
    <mergeCell ref="Q222:R222"/>
    <mergeCell ref="T222:V222"/>
    <mergeCell ref="Y222:AD222"/>
    <mergeCell ref="AF222:AL222"/>
    <mergeCell ref="A221:C221"/>
    <mergeCell ref="I221:P221"/>
    <mergeCell ref="Q221:R221"/>
    <mergeCell ref="T221:V221"/>
    <mergeCell ref="Y221:AD221"/>
    <mergeCell ref="AF221:AL221"/>
    <mergeCell ref="A220:C220"/>
    <mergeCell ref="H220:P220"/>
    <mergeCell ref="Q220:R220"/>
    <mergeCell ref="T220:V220"/>
    <mergeCell ref="Y220:AD220"/>
    <mergeCell ref="AF220:AL220"/>
    <mergeCell ref="A219:C219"/>
    <mergeCell ref="H219:P219"/>
    <mergeCell ref="Q219:R219"/>
    <mergeCell ref="T219:V219"/>
    <mergeCell ref="Y219:AD219"/>
    <mergeCell ref="AF219:AL219"/>
    <mergeCell ref="A218:C218"/>
    <mergeCell ref="M218:P218"/>
    <mergeCell ref="Q218:R218"/>
    <mergeCell ref="T218:V218"/>
    <mergeCell ref="Y218:AD218"/>
    <mergeCell ref="AF218:AL218"/>
    <mergeCell ref="A229:C229"/>
    <mergeCell ref="I229:P229"/>
    <mergeCell ref="Q229:R229"/>
    <mergeCell ref="T229:V229"/>
    <mergeCell ref="Y229:AD229"/>
    <mergeCell ref="AF229:AL229"/>
    <mergeCell ref="A228:C228"/>
    <mergeCell ref="M228:P228"/>
    <mergeCell ref="Q228:R228"/>
    <mergeCell ref="T228:V228"/>
    <mergeCell ref="Y228:AD228"/>
    <mergeCell ref="AF228:AL228"/>
    <mergeCell ref="A227:C227"/>
    <mergeCell ref="J227:P227"/>
    <mergeCell ref="Q227:R227"/>
    <mergeCell ref="T227:V227"/>
    <mergeCell ref="Y227:AD227"/>
    <mergeCell ref="AF227:AL227"/>
    <mergeCell ref="A226:C226"/>
    <mergeCell ref="I226:P226"/>
    <mergeCell ref="Q226:R226"/>
    <mergeCell ref="T226:V226"/>
    <mergeCell ref="Y226:AD226"/>
    <mergeCell ref="AF226:AL226"/>
    <mergeCell ref="A225:C225"/>
    <mergeCell ref="H225:P225"/>
    <mergeCell ref="Q225:R225"/>
    <mergeCell ref="T225:V225"/>
    <mergeCell ref="Y225:AD225"/>
    <mergeCell ref="AF225:AL225"/>
    <mergeCell ref="A224:C224"/>
    <mergeCell ref="M224:P224"/>
    <mergeCell ref="Q224:R224"/>
    <mergeCell ref="T224:V224"/>
    <mergeCell ref="Y224:AD224"/>
    <mergeCell ref="AF224:AL224"/>
    <mergeCell ref="A235:C235"/>
    <mergeCell ref="L235:P235"/>
    <mergeCell ref="Q235:R235"/>
    <mergeCell ref="T235:V235"/>
    <mergeCell ref="Y235:AD235"/>
    <mergeCell ref="AF235:AL235"/>
    <mergeCell ref="A234:C234"/>
    <mergeCell ref="J234:P234"/>
    <mergeCell ref="Q234:R234"/>
    <mergeCell ref="T234:V234"/>
    <mergeCell ref="Y234:AD234"/>
    <mergeCell ref="AF234:AL234"/>
    <mergeCell ref="A233:C233"/>
    <mergeCell ref="I233:P233"/>
    <mergeCell ref="Q233:R233"/>
    <mergeCell ref="T233:V233"/>
    <mergeCell ref="Y233:AD233"/>
    <mergeCell ref="AF233:AL233"/>
    <mergeCell ref="A232:C232"/>
    <mergeCell ref="H232:P232"/>
    <mergeCell ref="Q232:R232"/>
    <mergeCell ref="T232:V232"/>
    <mergeCell ref="Y232:AD232"/>
    <mergeCell ref="AF232:AL232"/>
    <mergeCell ref="A231:C231"/>
    <mergeCell ref="M231:P231"/>
    <mergeCell ref="Q231:R231"/>
    <mergeCell ref="T231:V231"/>
    <mergeCell ref="Y231:AD231"/>
    <mergeCell ref="AF231:AL231"/>
    <mergeCell ref="A230:C230"/>
    <mergeCell ref="J230:P230"/>
    <mergeCell ref="Q230:R230"/>
    <mergeCell ref="T230:V230"/>
    <mergeCell ref="Y230:AD230"/>
    <mergeCell ref="AF230:AL230"/>
    <mergeCell ref="A241:C241"/>
    <mergeCell ref="L241:P241"/>
    <mergeCell ref="Q241:R241"/>
    <mergeCell ref="T241:V241"/>
    <mergeCell ref="Y241:AD241"/>
    <mergeCell ref="AF241:AL241"/>
    <mergeCell ref="A240:C240"/>
    <mergeCell ref="K240:P240"/>
    <mergeCell ref="Q240:R240"/>
    <mergeCell ref="T240:V240"/>
    <mergeCell ref="Y240:AD240"/>
    <mergeCell ref="AF240:AL240"/>
    <mergeCell ref="A239:C239"/>
    <mergeCell ref="J239:P239"/>
    <mergeCell ref="Q239:R239"/>
    <mergeCell ref="T239:V239"/>
    <mergeCell ref="Y239:AD239"/>
    <mergeCell ref="AF239:AL239"/>
    <mergeCell ref="A238:C238"/>
    <mergeCell ref="I238:P238"/>
    <mergeCell ref="Q238:R238"/>
    <mergeCell ref="T238:V238"/>
    <mergeCell ref="Y238:AD238"/>
    <mergeCell ref="AF238:AL238"/>
    <mergeCell ref="A237:C237"/>
    <mergeCell ref="H237:P237"/>
    <mergeCell ref="Q237:R237"/>
    <mergeCell ref="T237:V237"/>
    <mergeCell ref="Y237:AD237"/>
    <mergeCell ref="AF237:AL237"/>
    <mergeCell ref="A236:C236"/>
    <mergeCell ref="M236:P236"/>
    <mergeCell ref="Q236:R236"/>
    <mergeCell ref="T236:V236"/>
    <mergeCell ref="Y236:AD236"/>
    <mergeCell ref="AF236:AL236"/>
    <mergeCell ref="A247:C247"/>
    <mergeCell ref="L247:P247"/>
    <mergeCell ref="Q247:R247"/>
    <mergeCell ref="T247:V247"/>
    <mergeCell ref="Y247:AD247"/>
    <mergeCell ref="AF247:AL247"/>
    <mergeCell ref="A246:C246"/>
    <mergeCell ref="K246:P246"/>
    <mergeCell ref="Q246:R246"/>
    <mergeCell ref="T246:V246"/>
    <mergeCell ref="Y246:AD246"/>
    <mergeCell ref="AF246:AL246"/>
    <mergeCell ref="A245:C245"/>
    <mergeCell ref="J245:P245"/>
    <mergeCell ref="Q245:R245"/>
    <mergeCell ref="T245:V245"/>
    <mergeCell ref="Y245:AD245"/>
    <mergeCell ref="AF245:AL245"/>
    <mergeCell ref="A244:C244"/>
    <mergeCell ref="M244:P244"/>
    <mergeCell ref="Q244:R244"/>
    <mergeCell ref="T244:V244"/>
    <mergeCell ref="Y244:AD244"/>
    <mergeCell ref="AF244:AL244"/>
    <mergeCell ref="A243:C243"/>
    <mergeCell ref="M243:P243"/>
    <mergeCell ref="Q243:R243"/>
    <mergeCell ref="T243:V243"/>
    <mergeCell ref="Y243:AD243"/>
    <mergeCell ref="AF243:AL243"/>
    <mergeCell ref="A242:C242"/>
    <mergeCell ref="M242:P242"/>
    <mergeCell ref="Q242:R242"/>
    <mergeCell ref="T242:V242"/>
    <mergeCell ref="Y242:AD242"/>
    <mergeCell ref="AF242:AL242"/>
    <mergeCell ref="A253:C253"/>
    <mergeCell ref="K253:P253"/>
    <mergeCell ref="Q253:R253"/>
    <mergeCell ref="T253:V253"/>
    <mergeCell ref="Y253:AD253"/>
    <mergeCell ref="AF253:AL253"/>
    <mergeCell ref="A252:C252"/>
    <mergeCell ref="M252:P252"/>
    <mergeCell ref="Q252:R252"/>
    <mergeCell ref="T252:V252"/>
    <mergeCell ref="Y252:AD252"/>
    <mergeCell ref="AF252:AL252"/>
    <mergeCell ref="A251:C251"/>
    <mergeCell ref="K251:P251"/>
    <mergeCell ref="Q251:R251"/>
    <mergeCell ref="T251:V251"/>
    <mergeCell ref="Y251:AD251"/>
    <mergeCell ref="AF251:AL251"/>
    <mergeCell ref="A250:C250"/>
    <mergeCell ref="J250:P250"/>
    <mergeCell ref="Q250:R250"/>
    <mergeCell ref="T250:V250"/>
    <mergeCell ref="Y250:AD250"/>
    <mergeCell ref="AF250:AL250"/>
    <mergeCell ref="A249:C249"/>
    <mergeCell ref="I249:P249"/>
    <mergeCell ref="Q249:R249"/>
    <mergeCell ref="T249:V249"/>
    <mergeCell ref="Y249:AD249"/>
    <mergeCell ref="AF249:AL249"/>
    <mergeCell ref="A248:C248"/>
    <mergeCell ref="M248:P248"/>
    <mergeCell ref="Q248:R248"/>
    <mergeCell ref="T248:V248"/>
    <mergeCell ref="Y248:AD248"/>
    <mergeCell ref="AF248:AL248"/>
    <mergeCell ref="A259:C259"/>
    <mergeCell ref="J259:P259"/>
    <mergeCell ref="Q259:R259"/>
    <mergeCell ref="T259:V259"/>
    <mergeCell ref="Y259:AD259"/>
    <mergeCell ref="AF259:AL259"/>
    <mergeCell ref="A258:C258"/>
    <mergeCell ref="I258:P258"/>
    <mergeCell ref="Q258:R258"/>
    <mergeCell ref="T258:V258"/>
    <mergeCell ref="Y258:AD258"/>
    <mergeCell ref="AF258:AL258"/>
    <mergeCell ref="A257:C257"/>
    <mergeCell ref="M257:P257"/>
    <mergeCell ref="Q257:R257"/>
    <mergeCell ref="T257:V257"/>
    <mergeCell ref="Y257:AD257"/>
    <mergeCell ref="AF257:AL257"/>
    <mergeCell ref="A256:C256"/>
    <mergeCell ref="K256:P256"/>
    <mergeCell ref="Q256:R256"/>
    <mergeCell ref="T256:V256"/>
    <mergeCell ref="Y256:AD256"/>
    <mergeCell ref="AF256:AL256"/>
    <mergeCell ref="A255:C255"/>
    <mergeCell ref="J255:P255"/>
    <mergeCell ref="Q255:R255"/>
    <mergeCell ref="T255:V255"/>
    <mergeCell ref="Y255:AD255"/>
    <mergeCell ref="AF255:AL255"/>
    <mergeCell ref="A254:C254"/>
    <mergeCell ref="M254:P254"/>
    <mergeCell ref="Q254:R254"/>
    <mergeCell ref="T254:V254"/>
    <mergeCell ref="Y254:AD254"/>
    <mergeCell ref="AF254:AL254"/>
    <mergeCell ref="A265:C265"/>
    <mergeCell ref="K265:P265"/>
    <mergeCell ref="Q265:R265"/>
    <mergeCell ref="T265:V265"/>
    <mergeCell ref="Y265:AD265"/>
    <mergeCell ref="AF265:AL265"/>
    <mergeCell ref="A264:C264"/>
    <mergeCell ref="J264:P264"/>
    <mergeCell ref="Q264:R264"/>
    <mergeCell ref="T264:V264"/>
    <mergeCell ref="Y264:AD264"/>
    <mergeCell ref="AF264:AL264"/>
    <mergeCell ref="A263:C263"/>
    <mergeCell ref="I263:P263"/>
    <mergeCell ref="Q263:R263"/>
    <mergeCell ref="T263:V263"/>
    <mergeCell ref="Y263:AD263"/>
    <mergeCell ref="AF263:AL263"/>
    <mergeCell ref="A262:C262"/>
    <mergeCell ref="H262:P262"/>
    <mergeCell ref="Q262:R262"/>
    <mergeCell ref="T262:V262"/>
    <mergeCell ref="Y262:AD262"/>
    <mergeCell ref="AF262:AL262"/>
    <mergeCell ref="A261:C261"/>
    <mergeCell ref="M261:P261"/>
    <mergeCell ref="Q261:R261"/>
    <mergeCell ref="T261:V261"/>
    <mergeCell ref="Y261:AD261"/>
    <mergeCell ref="AF261:AL261"/>
    <mergeCell ref="A260:C260"/>
    <mergeCell ref="M260:P260"/>
    <mergeCell ref="Q260:R260"/>
    <mergeCell ref="T260:V260"/>
    <mergeCell ref="Y260:AD260"/>
    <mergeCell ref="AF260:AL260"/>
    <mergeCell ref="A271:C271"/>
    <mergeCell ref="M271:P271"/>
    <mergeCell ref="Q271:R271"/>
    <mergeCell ref="T271:V271"/>
    <mergeCell ref="Y271:AD271"/>
    <mergeCell ref="AF271:AL271"/>
    <mergeCell ref="A270:C270"/>
    <mergeCell ref="L270:P270"/>
    <mergeCell ref="Q270:R270"/>
    <mergeCell ref="T270:V270"/>
    <mergeCell ref="Y270:AD270"/>
    <mergeCell ref="AF270:AL270"/>
    <mergeCell ref="A269:C269"/>
    <mergeCell ref="M269:P269"/>
    <mergeCell ref="Q269:R269"/>
    <mergeCell ref="T269:V269"/>
    <mergeCell ref="Y269:AD269"/>
    <mergeCell ref="AF269:AL269"/>
    <mergeCell ref="A268:C268"/>
    <mergeCell ref="L268:P268"/>
    <mergeCell ref="Q268:R268"/>
    <mergeCell ref="T268:V268"/>
    <mergeCell ref="Y268:AD268"/>
    <mergeCell ref="AF268:AL268"/>
    <mergeCell ref="A267:C267"/>
    <mergeCell ref="M267:P267"/>
    <mergeCell ref="Q267:R267"/>
    <mergeCell ref="T267:V267"/>
    <mergeCell ref="Y267:AD267"/>
    <mergeCell ref="AF267:AL267"/>
    <mergeCell ref="A266:C266"/>
    <mergeCell ref="L266:P266"/>
    <mergeCell ref="Q266:R266"/>
    <mergeCell ref="T266:V266"/>
    <mergeCell ref="Y266:AD266"/>
    <mergeCell ref="AF266:AL266"/>
    <mergeCell ref="A277:C277"/>
    <mergeCell ref="L277:P277"/>
    <mergeCell ref="Q277:R277"/>
    <mergeCell ref="T277:V277"/>
    <mergeCell ref="Y277:AD277"/>
    <mergeCell ref="AF277:AL277"/>
    <mergeCell ref="A276:C276"/>
    <mergeCell ref="M276:P276"/>
    <mergeCell ref="Q276:R276"/>
    <mergeCell ref="T276:V276"/>
    <mergeCell ref="Y276:AD276"/>
    <mergeCell ref="AF276:AL276"/>
    <mergeCell ref="A275:C275"/>
    <mergeCell ref="L275:P275"/>
    <mergeCell ref="Q275:R275"/>
    <mergeCell ref="T275:V275"/>
    <mergeCell ref="Y275:AD275"/>
    <mergeCell ref="AF275:AL275"/>
    <mergeCell ref="A274:C274"/>
    <mergeCell ref="M274:P274"/>
    <mergeCell ref="Q274:R274"/>
    <mergeCell ref="T274:V274"/>
    <mergeCell ref="Y274:AD274"/>
    <mergeCell ref="AF274:AL274"/>
    <mergeCell ref="A273:C273"/>
    <mergeCell ref="L273:P273"/>
    <mergeCell ref="Q273:R273"/>
    <mergeCell ref="T273:V273"/>
    <mergeCell ref="Y273:AD273"/>
    <mergeCell ref="AF273:AL273"/>
    <mergeCell ref="A272:C272"/>
    <mergeCell ref="K272:P272"/>
    <mergeCell ref="Q272:R272"/>
    <mergeCell ref="T272:V272"/>
    <mergeCell ref="Y272:AD272"/>
    <mergeCell ref="AF272:AL272"/>
    <mergeCell ref="A283:C283"/>
    <mergeCell ref="L283:P283"/>
    <mergeCell ref="Q283:R283"/>
    <mergeCell ref="T283:V283"/>
    <mergeCell ref="Y283:AD283"/>
    <mergeCell ref="AF283:AL283"/>
    <mergeCell ref="A282:C282"/>
    <mergeCell ref="M282:P282"/>
    <mergeCell ref="Q282:R282"/>
    <mergeCell ref="T282:V282"/>
    <mergeCell ref="Y282:AD282"/>
    <mergeCell ref="AF282:AL282"/>
    <mergeCell ref="A281:C281"/>
    <mergeCell ref="L281:P281"/>
    <mergeCell ref="Q281:R281"/>
    <mergeCell ref="T281:V281"/>
    <mergeCell ref="Y281:AD281"/>
    <mergeCell ref="AF281:AL281"/>
    <mergeCell ref="A280:C280"/>
    <mergeCell ref="K280:P280"/>
    <mergeCell ref="Q280:R280"/>
    <mergeCell ref="T280:V280"/>
    <mergeCell ref="Y280:AD280"/>
    <mergeCell ref="AF280:AL280"/>
    <mergeCell ref="A279:C279"/>
    <mergeCell ref="M279:P279"/>
    <mergeCell ref="Q279:R279"/>
    <mergeCell ref="T279:V279"/>
    <mergeCell ref="Y279:AD279"/>
    <mergeCell ref="AF279:AL279"/>
    <mergeCell ref="A278:C278"/>
    <mergeCell ref="M278:P278"/>
    <mergeCell ref="Q278:R278"/>
    <mergeCell ref="T278:V278"/>
    <mergeCell ref="Y278:AD278"/>
    <mergeCell ref="AF278:AL278"/>
    <mergeCell ref="A289:C289"/>
    <mergeCell ref="L289:P289"/>
    <mergeCell ref="Q289:R289"/>
    <mergeCell ref="T289:V289"/>
    <mergeCell ref="Y289:AD289"/>
    <mergeCell ref="AF289:AL289"/>
    <mergeCell ref="A288:C288"/>
    <mergeCell ref="K288:P288"/>
    <mergeCell ref="Q288:R288"/>
    <mergeCell ref="T288:V288"/>
    <mergeCell ref="Y288:AD288"/>
    <mergeCell ref="AF288:AL288"/>
    <mergeCell ref="A287:C287"/>
    <mergeCell ref="M287:P287"/>
    <mergeCell ref="Q287:R287"/>
    <mergeCell ref="T287:V287"/>
    <mergeCell ref="Y287:AD287"/>
    <mergeCell ref="AF287:AL287"/>
    <mergeCell ref="A286:C286"/>
    <mergeCell ref="M286:P286"/>
    <mergeCell ref="Q286:R286"/>
    <mergeCell ref="T286:V286"/>
    <mergeCell ref="Y286:AD286"/>
    <mergeCell ref="AF286:AL286"/>
    <mergeCell ref="A285:C285"/>
    <mergeCell ref="L285:P285"/>
    <mergeCell ref="Q285:R285"/>
    <mergeCell ref="T285:V285"/>
    <mergeCell ref="Y285:AD285"/>
    <mergeCell ref="AF285:AL285"/>
    <mergeCell ref="A284:C284"/>
    <mergeCell ref="M284:P284"/>
    <mergeCell ref="Q284:R284"/>
    <mergeCell ref="T284:V284"/>
    <mergeCell ref="Y284:AD284"/>
    <mergeCell ref="AF284:AL284"/>
    <mergeCell ref="A295:C295"/>
    <mergeCell ref="M295:P295"/>
    <mergeCell ref="Q295:R295"/>
    <mergeCell ref="T295:V295"/>
    <mergeCell ref="Y295:AD295"/>
    <mergeCell ref="AF295:AL295"/>
    <mergeCell ref="A294:C294"/>
    <mergeCell ref="M294:P294"/>
    <mergeCell ref="Q294:R294"/>
    <mergeCell ref="T294:V294"/>
    <mergeCell ref="Y294:AD294"/>
    <mergeCell ref="AF294:AL294"/>
    <mergeCell ref="A293:C293"/>
    <mergeCell ref="L293:P293"/>
    <mergeCell ref="Q293:R293"/>
    <mergeCell ref="T293:V293"/>
    <mergeCell ref="Y293:AD293"/>
    <mergeCell ref="AF293:AL293"/>
    <mergeCell ref="A292:C292"/>
    <mergeCell ref="M292:P292"/>
    <mergeCell ref="Q292:R292"/>
    <mergeCell ref="T292:V292"/>
    <mergeCell ref="Y292:AD292"/>
    <mergeCell ref="AF292:AL292"/>
    <mergeCell ref="A291:C291"/>
    <mergeCell ref="L291:P291"/>
    <mergeCell ref="Q291:R291"/>
    <mergeCell ref="T291:V291"/>
    <mergeCell ref="Y291:AD291"/>
    <mergeCell ref="AF291:AL291"/>
    <mergeCell ref="A290:C290"/>
    <mergeCell ref="M290:P290"/>
    <mergeCell ref="Q290:R290"/>
    <mergeCell ref="T290:V290"/>
    <mergeCell ref="Y290:AD290"/>
    <mergeCell ref="AF290:AL290"/>
    <mergeCell ref="A301:C301"/>
    <mergeCell ref="K301:P301"/>
    <mergeCell ref="Q301:R301"/>
    <mergeCell ref="T301:V301"/>
    <mergeCell ref="Y301:AD301"/>
    <mergeCell ref="AF301:AL301"/>
    <mergeCell ref="A300:C300"/>
    <mergeCell ref="M300:P300"/>
    <mergeCell ref="Q300:R300"/>
    <mergeCell ref="T300:V300"/>
    <mergeCell ref="Y300:AD300"/>
    <mergeCell ref="AF300:AL300"/>
    <mergeCell ref="A299:C299"/>
    <mergeCell ref="L299:P299"/>
    <mergeCell ref="Q299:R299"/>
    <mergeCell ref="T299:V299"/>
    <mergeCell ref="Y299:AD299"/>
    <mergeCell ref="AF299:AL299"/>
    <mergeCell ref="A298:C298"/>
    <mergeCell ref="M298:P298"/>
    <mergeCell ref="Q298:R298"/>
    <mergeCell ref="T298:V298"/>
    <mergeCell ref="Y298:AD298"/>
    <mergeCell ref="AF298:AL298"/>
    <mergeCell ref="A297:C297"/>
    <mergeCell ref="L297:P297"/>
    <mergeCell ref="Q297:R297"/>
    <mergeCell ref="T297:V297"/>
    <mergeCell ref="Y297:AD297"/>
    <mergeCell ref="AF297:AL297"/>
    <mergeCell ref="A296:C296"/>
    <mergeCell ref="K296:P296"/>
    <mergeCell ref="Q296:R296"/>
    <mergeCell ref="T296:V296"/>
    <mergeCell ref="Y296:AD296"/>
    <mergeCell ref="AF296:AL296"/>
    <mergeCell ref="A307:C307"/>
    <mergeCell ref="M307:P307"/>
    <mergeCell ref="Q307:R307"/>
    <mergeCell ref="T307:V307"/>
    <mergeCell ref="Y307:AD307"/>
    <mergeCell ref="AF307:AL307"/>
    <mergeCell ref="A306:C306"/>
    <mergeCell ref="L306:P306"/>
    <mergeCell ref="Q306:R306"/>
    <mergeCell ref="T306:V306"/>
    <mergeCell ref="Y306:AD306"/>
    <mergeCell ref="AF306:AL306"/>
    <mergeCell ref="A305:C305"/>
    <mergeCell ref="M305:P305"/>
    <mergeCell ref="Q305:R305"/>
    <mergeCell ref="T305:V305"/>
    <mergeCell ref="Y305:AD305"/>
    <mergeCell ref="AF305:AL305"/>
    <mergeCell ref="A304:C304"/>
    <mergeCell ref="L304:P304"/>
    <mergeCell ref="Q304:R304"/>
    <mergeCell ref="T304:V304"/>
    <mergeCell ref="Y304:AD304"/>
    <mergeCell ref="AF304:AL304"/>
    <mergeCell ref="A303:C303"/>
    <mergeCell ref="M303:P303"/>
    <mergeCell ref="Q303:R303"/>
    <mergeCell ref="T303:V303"/>
    <mergeCell ref="Y303:AD303"/>
    <mergeCell ref="AF303:AL303"/>
    <mergeCell ref="A302:C302"/>
    <mergeCell ref="L302:P302"/>
    <mergeCell ref="Q302:R302"/>
    <mergeCell ref="T302:V302"/>
    <mergeCell ref="Y302:AD302"/>
    <mergeCell ref="AF302:AL302"/>
    <mergeCell ref="A313:C313"/>
    <mergeCell ref="L313:P313"/>
    <mergeCell ref="Q313:R313"/>
    <mergeCell ref="T313:V313"/>
    <mergeCell ref="Y313:AD313"/>
    <mergeCell ref="AF313:AL313"/>
    <mergeCell ref="A312:C312"/>
    <mergeCell ref="M312:P312"/>
    <mergeCell ref="Q312:R312"/>
    <mergeCell ref="T312:V312"/>
    <mergeCell ref="Y312:AD312"/>
    <mergeCell ref="AF312:AL312"/>
    <mergeCell ref="A311:C311"/>
    <mergeCell ref="L311:P311"/>
    <mergeCell ref="Q311:R311"/>
    <mergeCell ref="T311:V311"/>
    <mergeCell ref="Y311:AD311"/>
    <mergeCell ref="AF311:AL311"/>
    <mergeCell ref="A310:C310"/>
    <mergeCell ref="K310:P310"/>
    <mergeCell ref="Q310:R310"/>
    <mergeCell ref="T310:V310"/>
    <mergeCell ref="Y310:AD310"/>
    <mergeCell ref="AF310:AL310"/>
    <mergeCell ref="A309:C309"/>
    <mergeCell ref="J309:P309"/>
    <mergeCell ref="Q309:R309"/>
    <mergeCell ref="T309:V309"/>
    <mergeCell ref="Y309:AD309"/>
    <mergeCell ref="AF309:AL309"/>
    <mergeCell ref="A308:C308"/>
    <mergeCell ref="M308:P308"/>
    <mergeCell ref="Q308:R308"/>
    <mergeCell ref="T308:V308"/>
    <mergeCell ref="Y308:AD308"/>
    <mergeCell ref="AF308:AL308"/>
    <mergeCell ref="A319:C319"/>
    <mergeCell ref="L319:P319"/>
    <mergeCell ref="Q319:R319"/>
    <mergeCell ref="T319:V319"/>
    <mergeCell ref="Y319:AD319"/>
    <mergeCell ref="AF319:AL319"/>
    <mergeCell ref="A318:C318"/>
    <mergeCell ref="K318:P318"/>
    <mergeCell ref="Q318:R318"/>
    <mergeCell ref="T318:V318"/>
    <mergeCell ref="Y318:AD318"/>
    <mergeCell ref="AF318:AL318"/>
    <mergeCell ref="A317:C317"/>
    <mergeCell ref="M317:P317"/>
    <mergeCell ref="Q317:R317"/>
    <mergeCell ref="T317:V317"/>
    <mergeCell ref="Y317:AD317"/>
    <mergeCell ref="AF317:AL317"/>
    <mergeCell ref="A316:C316"/>
    <mergeCell ref="M316:P316"/>
    <mergeCell ref="Q316:R316"/>
    <mergeCell ref="T316:V316"/>
    <mergeCell ref="Y316:AD316"/>
    <mergeCell ref="AF316:AL316"/>
    <mergeCell ref="A315:C315"/>
    <mergeCell ref="L315:P315"/>
    <mergeCell ref="Q315:R315"/>
    <mergeCell ref="T315:V315"/>
    <mergeCell ref="Y315:AD315"/>
    <mergeCell ref="AF315:AL315"/>
    <mergeCell ref="A314:C314"/>
    <mergeCell ref="M314:P314"/>
    <mergeCell ref="Q314:R314"/>
    <mergeCell ref="T314:V314"/>
    <mergeCell ref="Y314:AD314"/>
    <mergeCell ref="AF314:AL314"/>
    <mergeCell ref="A325:C325"/>
    <mergeCell ref="M325:P325"/>
    <mergeCell ref="Q325:R325"/>
    <mergeCell ref="T325:V325"/>
    <mergeCell ref="Y325:AD325"/>
    <mergeCell ref="AF325:AL325"/>
    <mergeCell ref="A324:C324"/>
    <mergeCell ref="M324:P324"/>
    <mergeCell ref="Q324:R324"/>
    <mergeCell ref="T324:V324"/>
    <mergeCell ref="Y324:AD324"/>
    <mergeCell ref="AF324:AL324"/>
    <mergeCell ref="A323:C323"/>
    <mergeCell ref="L323:P323"/>
    <mergeCell ref="Q323:R323"/>
    <mergeCell ref="T323:V323"/>
    <mergeCell ref="Y323:AD323"/>
    <mergeCell ref="AF323:AL323"/>
    <mergeCell ref="A322:C322"/>
    <mergeCell ref="M322:P322"/>
    <mergeCell ref="Q322:R322"/>
    <mergeCell ref="T322:V322"/>
    <mergeCell ref="Y322:AD322"/>
    <mergeCell ref="AF322:AL322"/>
    <mergeCell ref="A321:C321"/>
    <mergeCell ref="L321:P321"/>
    <mergeCell ref="Q321:R321"/>
    <mergeCell ref="T321:V321"/>
    <mergeCell ref="Y321:AD321"/>
    <mergeCell ref="AF321:AL321"/>
    <mergeCell ref="A320:C320"/>
    <mergeCell ref="M320:P320"/>
    <mergeCell ref="Q320:R320"/>
    <mergeCell ref="T320:V320"/>
    <mergeCell ref="Y320:AD320"/>
    <mergeCell ref="AF320:AL320"/>
    <mergeCell ref="A331:C331"/>
    <mergeCell ref="L331:P331"/>
    <mergeCell ref="Q331:R331"/>
    <mergeCell ref="T331:V331"/>
    <mergeCell ref="Y331:AD331"/>
    <mergeCell ref="AF331:AL331"/>
    <mergeCell ref="A330:C330"/>
    <mergeCell ref="M330:P330"/>
    <mergeCell ref="Q330:R330"/>
    <mergeCell ref="T330:V330"/>
    <mergeCell ref="Y330:AD330"/>
    <mergeCell ref="AF330:AL330"/>
    <mergeCell ref="A329:C329"/>
    <mergeCell ref="L329:P329"/>
    <mergeCell ref="Q329:R329"/>
    <mergeCell ref="T329:V329"/>
    <mergeCell ref="Y329:AD329"/>
    <mergeCell ref="AF329:AL329"/>
    <mergeCell ref="A328:C328"/>
    <mergeCell ref="M328:P328"/>
    <mergeCell ref="Q328:R328"/>
    <mergeCell ref="T328:V328"/>
    <mergeCell ref="Y328:AD328"/>
    <mergeCell ref="AF328:AL328"/>
    <mergeCell ref="A327:C327"/>
    <mergeCell ref="L327:P327"/>
    <mergeCell ref="Q327:R327"/>
    <mergeCell ref="T327:V327"/>
    <mergeCell ref="Y327:AD327"/>
    <mergeCell ref="AF327:AL327"/>
    <mergeCell ref="A326:C326"/>
    <mergeCell ref="K326:P326"/>
    <mergeCell ref="Q326:R326"/>
    <mergeCell ref="T326:V326"/>
    <mergeCell ref="Y326:AD326"/>
    <mergeCell ref="AF326:AL326"/>
    <mergeCell ref="A337:C337"/>
    <mergeCell ref="L337:P337"/>
    <mergeCell ref="Q337:R337"/>
    <mergeCell ref="T337:V337"/>
    <mergeCell ref="Y337:AD337"/>
    <mergeCell ref="AF337:AL337"/>
    <mergeCell ref="A336:C336"/>
    <mergeCell ref="M336:P336"/>
    <mergeCell ref="Q336:R336"/>
    <mergeCell ref="T336:V336"/>
    <mergeCell ref="Y336:AD336"/>
    <mergeCell ref="AF336:AL336"/>
    <mergeCell ref="A335:C335"/>
    <mergeCell ref="L335:P335"/>
    <mergeCell ref="Q335:R335"/>
    <mergeCell ref="T335:V335"/>
    <mergeCell ref="Y335:AD335"/>
    <mergeCell ref="AF335:AL335"/>
    <mergeCell ref="A334:C334"/>
    <mergeCell ref="K334:P334"/>
    <mergeCell ref="Q334:R334"/>
    <mergeCell ref="T334:V334"/>
    <mergeCell ref="Y334:AD334"/>
    <mergeCell ref="AF334:AL334"/>
    <mergeCell ref="A333:C333"/>
    <mergeCell ref="M333:P333"/>
    <mergeCell ref="Q333:R333"/>
    <mergeCell ref="T333:V333"/>
    <mergeCell ref="Y333:AD333"/>
    <mergeCell ref="AF333:AL333"/>
    <mergeCell ref="A332:C332"/>
    <mergeCell ref="M332:P332"/>
    <mergeCell ref="Q332:R332"/>
    <mergeCell ref="T332:V332"/>
    <mergeCell ref="Y332:AD332"/>
    <mergeCell ref="AF332:AL332"/>
    <mergeCell ref="A343:C343"/>
    <mergeCell ref="M343:P343"/>
    <mergeCell ref="Q343:R343"/>
    <mergeCell ref="T343:V343"/>
    <mergeCell ref="Y343:AD343"/>
    <mergeCell ref="AF343:AL343"/>
    <mergeCell ref="A342:C342"/>
    <mergeCell ref="L342:P342"/>
    <mergeCell ref="Q342:R342"/>
    <mergeCell ref="T342:V342"/>
    <mergeCell ref="Y342:AD342"/>
    <mergeCell ref="AF342:AL342"/>
    <mergeCell ref="A341:C341"/>
    <mergeCell ref="M341:P341"/>
    <mergeCell ref="Q341:R341"/>
    <mergeCell ref="T341:V341"/>
    <mergeCell ref="Y341:AD341"/>
    <mergeCell ref="AF341:AL341"/>
    <mergeCell ref="A340:C340"/>
    <mergeCell ref="L340:P340"/>
    <mergeCell ref="Q340:R340"/>
    <mergeCell ref="T340:V340"/>
    <mergeCell ref="Y340:AD340"/>
    <mergeCell ref="AF340:AL340"/>
    <mergeCell ref="A339:C339"/>
    <mergeCell ref="K339:P339"/>
    <mergeCell ref="Q339:R339"/>
    <mergeCell ref="T339:V339"/>
    <mergeCell ref="Y339:AD339"/>
    <mergeCell ref="AF339:AL339"/>
    <mergeCell ref="A338:C338"/>
    <mergeCell ref="M338:P338"/>
    <mergeCell ref="Q338:R338"/>
    <mergeCell ref="T338:V338"/>
    <mergeCell ref="Y338:AD338"/>
    <mergeCell ref="AF338:AL338"/>
    <mergeCell ref="A349:C349"/>
    <mergeCell ref="L349:P349"/>
    <mergeCell ref="Q349:R349"/>
    <mergeCell ref="T349:V349"/>
    <mergeCell ref="Y349:AD349"/>
    <mergeCell ref="AF349:AL349"/>
    <mergeCell ref="A348:C348"/>
    <mergeCell ref="K348:P348"/>
    <mergeCell ref="Q348:R348"/>
    <mergeCell ref="T348:V348"/>
    <mergeCell ref="Y348:AD348"/>
    <mergeCell ref="AF348:AL348"/>
    <mergeCell ref="A347:C347"/>
    <mergeCell ref="J347:P347"/>
    <mergeCell ref="Q347:R347"/>
    <mergeCell ref="T347:V347"/>
    <mergeCell ref="Y347:AD347"/>
    <mergeCell ref="AF347:AL347"/>
    <mergeCell ref="A346:C346"/>
    <mergeCell ref="M346:P346"/>
    <mergeCell ref="Q346:R346"/>
    <mergeCell ref="T346:V346"/>
    <mergeCell ref="Y346:AD346"/>
    <mergeCell ref="AF346:AL346"/>
    <mergeCell ref="A345:C345"/>
    <mergeCell ref="M345:P345"/>
    <mergeCell ref="Q345:R345"/>
    <mergeCell ref="T345:V345"/>
    <mergeCell ref="Y345:AD345"/>
    <mergeCell ref="AF345:AL345"/>
    <mergeCell ref="A344:C344"/>
    <mergeCell ref="L344:P344"/>
    <mergeCell ref="Q344:R344"/>
    <mergeCell ref="T344:V344"/>
    <mergeCell ref="Y344:AD344"/>
    <mergeCell ref="AF344:AL344"/>
    <mergeCell ref="A355:C355"/>
    <mergeCell ref="M355:P355"/>
    <mergeCell ref="Q355:R355"/>
    <mergeCell ref="T355:V355"/>
    <mergeCell ref="Y355:AD355"/>
    <mergeCell ref="AF355:AL355"/>
    <mergeCell ref="A354:C354"/>
    <mergeCell ref="M354:P354"/>
    <mergeCell ref="Q354:R354"/>
    <mergeCell ref="T354:V354"/>
    <mergeCell ref="Y354:AD354"/>
    <mergeCell ref="AF354:AL354"/>
    <mergeCell ref="A353:C353"/>
    <mergeCell ref="L353:P353"/>
    <mergeCell ref="Q353:R353"/>
    <mergeCell ref="T353:V353"/>
    <mergeCell ref="Y353:AD353"/>
    <mergeCell ref="AF353:AL353"/>
    <mergeCell ref="A352:C352"/>
    <mergeCell ref="K352:P352"/>
    <mergeCell ref="Q352:R352"/>
    <mergeCell ref="T352:V352"/>
    <mergeCell ref="Y352:AD352"/>
    <mergeCell ref="AF352:AL352"/>
    <mergeCell ref="A351:C351"/>
    <mergeCell ref="M351:P351"/>
    <mergeCell ref="Q351:R351"/>
    <mergeCell ref="T351:V351"/>
    <mergeCell ref="Y351:AD351"/>
    <mergeCell ref="AF351:AL351"/>
    <mergeCell ref="A350:C350"/>
    <mergeCell ref="M350:P350"/>
    <mergeCell ref="Q350:R350"/>
    <mergeCell ref="T350:V350"/>
    <mergeCell ref="Y350:AD350"/>
    <mergeCell ref="AF350:AL350"/>
    <mergeCell ref="A361:C361"/>
    <mergeCell ref="K361:P361"/>
    <mergeCell ref="Q361:R361"/>
    <mergeCell ref="T361:V361"/>
    <mergeCell ref="Y361:AD361"/>
    <mergeCell ref="AF361:AL361"/>
    <mergeCell ref="A360:C360"/>
    <mergeCell ref="M360:P360"/>
    <mergeCell ref="Q360:R360"/>
    <mergeCell ref="T360:V360"/>
    <mergeCell ref="Y360:AD360"/>
    <mergeCell ref="AF360:AL360"/>
    <mergeCell ref="A359:C359"/>
    <mergeCell ref="M359:P359"/>
    <mergeCell ref="Q359:R359"/>
    <mergeCell ref="T359:V359"/>
    <mergeCell ref="Y359:AD359"/>
    <mergeCell ref="AF359:AL359"/>
    <mergeCell ref="A358:C358"/>
    <mergeCell ref="L358:P358"/>
    <mergeCell ref="Q358:R358"/>
    <mergeCell ref="T358:V358"/>
    <mergeCell ref="Y358:AD358"/>
    <mergeCell ref="AF358:AL358"/>
    <mergeCell ref="A357:C357"/>
    <mergeCell ref="M357:P357"/>
    <mergeCell ref="Q357:R357"/>
    <mergeCell ref="T357:V357"/>
    <mergeCell ref="Y357:AD357"/>
    <mergeCell ref="AF357:AL357"/>
    <mergeCell ref="A356:C356"/>
    <mergeCell ref="M356:P356"/>
    <mergeCell ref="Q356:R356"/>
    <mergeCell ref="T356:V356"/>
    <mergeCell ref="Y356:AD356"/>
    <mergeCell ref="AF356:AL356"/>
    <mergeCell ref="A367:C367"/>
    <mergeCell ref="M367:P367"/>
    <mergeCell ref="Q367:R367"/>
    <mergeCell ref="T367:V367"/>
    <mergeCell ref="Y367:AD367"/>
    <mergeCell ref="AF367:AL367"/>
    <mergeCell ref="A366:C366"/>
    <mergeCell ref="M366:P366"/>
    <mergeCell ref="Q366:R366"/>
    <mergeCell ref="T366:V366"/>
    <mergeCell ref="Y366:AD366"/>
    <mergeCell ref="AF366:AL366"/>
    <mergeCell ref="A365:C365"/>
    <mergeCell ref="L365:P365"/>
    <mergeCell ref="Q365:R365"/>
    <mergeCell ref="T365:V365"/>
    <mergeCell ref="Y365:AD365"/>
    <mergeCell ref="AF365:AL365"/>
    <mergeCell ref="A364:C364"/>
    <mergeCell ref="M364:P364"/>
    <mergeCell ref="Q364:R364"/>
    <mergeCell ref="T364:V364"/>
    <mergeCell ref="Y364:AD364"/>
    <mergeCell ref="AF364:AL364"/>
    <mergeCell ref="A363:C363"/>
    <mergeCell ref="M363:P363"/>
    <mergeCell ref="Q363:R363"/>
    <mergeCell ref="T363:V363"/>
    <mergeCell ref="Y363:AD363"/>
    <mergeCell ref="AF363:AL363"/>
    <mergeCell ref="A362:C362"/>
    <mergeCell ref="L362:P362"/>
    <mergeCell ref="Q362:R362"/>
    <mergeCell ref="T362:V362"/>
    <mergeCell ref="Y362:AD362"/>
    <mergeCell ref="AF362:AL362"/>
    <mergeCell ref="A373:C373"/>
    <mergeCell ref="M373:P373"/>
    <mergeCell ref="Q373:R373"/>
    <mergeCell ref="T373:V373"/>
    <mergeCell ref="Y373:AD373"/>
    <mergeCell ref="AF373:AL373"/>
    <mergeCell ref="A372:C372"/>
    <mergeCell ref="L372:P372"/>
    <mergeCell ref="Q372:R372"/>
    <mergeCell ref="T372:V372"/>
    <mergeCell ref="Y372:AD372"/>
    <mergeCell ref="AF372:AL372"/>
    <mergeCell ref="A371:C371"/>
    <mergeCell ref="K371:P371"/>
    <mergeCell ref="Q371:R371"/>
    <mergeCell ref="T371:V371"/>
    <mergeCell ref="Y371:AD371"/>
    <mergeCell ref="AF371:AL371"/>
    <mergeCell ref="A370:C370"/>
    <mergeCell ref="M370:P370"/>
    <mergeCell ref="Q370:R370"/>
    <mergeCell ref="T370:V370"/>
    <mergeCell ref="Y370:AD370"/>
    <mergeCell ref="AF370:AL370"/>
    <mergeCell ref="A369:C369"/>
    <mergeCell ref="L369:P369"/>
    <mergeCell ref="Q369:R369"/>
    <mergeCell ref="T369:V369"/>
    <mergeCell ref="Y369:AD369"/>
    <mergeCell ref="AF369:AL369"/>
    <mergeCell ref="A368:C368"/>
    <mergeCell ref="K368:P368"/>
    <mergeCell ref="Q368:R368"/>
    <mergeCell ref="T368:V368"/>
    <mergeCell ref="Y368:AD368"/>
    <mergeCell ref="AF368:AL368"/>
    <mergeCell ref="A379:C379"/>
    <mergeCell ref="L379:P379"/>
    <mergeCell ref="Q379:R379"/>
    <mergeCell ref="T379:V379"/>
    <mergeCell ref="Y379:AD379"/>
    <mergeCell ref="AF379:AL379"/>
    <mergeCell ref="A378:C378"/>
    <mergeCell ref="M378:P378"/>
    <mergeCell ref="Q378:R378"/>
    <mergeCell ref="T378:V378"/>
    <mergeCell ref="Y378:AD378"/>
    <mergeCell ref="AF378:AL378"/>
    <mergeCell ref="A377:C377"/>
    <mergeCell ref="M377:P377"/>
    <mergeCell ref="Q377:R377"/>
    <mergeCell ref="T377:V377"/>
    <mergeCell ref="Y377:AD377"/>
    <mergeCell ref="AF377:AL377"/>
    <mergeCell ref="A376:C376"/>
    <mergeCell ref="M376:P376"/>
    <mergeCell ref="Q376:R376"/>
    <mergeCell ref="T376:V376"/>
    <mergeCell ref="Y376:AD376"/>
    <mergeCell ref="AF376:AL376"/>
    <mergeCell ref="A375:C375"/>
    <mergeCell ref="M375:P375"/>
    <mergeCell ref="Q375:R375"/>
    <mergeCell ref="T375:V375"/>
    <mergeCell ref="Y375:AD375"/>
    <mergeCell ref="AF375:AL375"/>
    <mergeCell ref="A374:C374"/>
    <mergeCell ref="M374:P374"/>
    <mergeCell ref="Q374:R374"/>
    <mergeCell ref="T374:V374"/>
    <mergeCell ref="Y374:AD374"/>
    <mergeCell ref="AF374:AL374"/>
    <mergeCell ref="A385:C385"/>
    <mergeCell ref="L385:P385"/>
    <mergeCell ref="Q385:R385"/>
    <mergeCell ref="T385:V385"/>
    <mergeCell ref="Y385:AD385"/>
    <mergeCell ref="AF385:AL385"/>
    <mergeCell ref="A384:C384"/>
    <mergeCell ref="K384:P384"/>
    <mergeCell ref="Q384:R384"/>
    <mergeCell ref="T384:V384"/>
    <mergeCell ref="Y384:AD384"/>
    <mergeCell ref="AF384:AL384"/>
    <mergeCell ref="A383:C383"/>
    <mergeCell ref="M383:P383"/>
    <mergeCell ref="Q383:R383"/>
    <mergeCell ref="T383:V383"/>
    <mergeCell ref="Y383:AD383"/>
    <mergeCell ref="AF383:AL383"/>
    <mergeCell ref="A382:C382"/>
    <mergeCell ref="M382:P382"/>
    <mergeCell ref="Q382:R382"/>
    <mergeCell ref="T382:V382"/>
    <mergeCell ref="Y382:AD382"/>
    <mergeCell ref="AF382:AL382"/>
    <mergeCell ref="A381:C381"/>
    <mergeCell ref="L381:P381"/>
    <mergeCell ref="Q381:R381"/>
    <mergeCell ref="T381:V381"/>
    <mergeCell ref="Y381:AD381"/>
    <mergeCell ref="AF381:AL381"/>
    <mergeCell ref="A380:C380"/>
    <mergeCell ref="M380:P380"/>
    <mergeCell ref="Q380:R380"/>
    <mergeCell ref="T380:V380"/>
    <mergeCell ref="Y380:AD380"/>
    <mergeCell ref="AF380:AL380"/>
    <mergeCell ref="A391:C391"/>
    <mergeCell ref="J391:P391"/>
    <mergeCell ref="Q391:R391"/>
    <mergeCell ref="T391:V391"/>
    <mergeCell ref="Y391:AD391"/>
    <mergeCell ref="AF391:AL391"/>
    <mergeCell ref="A390:C390"/>
    <mergeCell ref="M390:P390"/>
    <mergeCell ref="Q390:R390"/>
    <mergeCell ref="T390:V390"/>
    <mergeCell ref="Y390:AD390"/>
    <mergeCell ref="AF390:AL390"/>
    <mergeCell ref="A389:C389"/>
    <mergeCell ref="L389:P389"/>
    <mergeCell ref="Q389:R389"/>
    <mergeCell ref="T389:V389"/>
    <mergeCell ref="Y389:AD389"/>
    <mergeCell ref="AF389:AL389"/>
    <mergeCell ref="A388:C388"/>
    <mergeCell ref="K388:P388"/>
    <mergeCell ref="Q388:R388"/>
    <mergeCell ref="T388:V388"/>
    <mergeCell ref="Y388:AD388"/>
    <mergeCell ref="AF388:AL388"/>
    <mergeCell ref="A387:C387"/>
    <mergeCell ref="J387:P387"/>
    <mergeCell ref="Q387:R387"/>
    <mergeCell ref="T387:V387"/>
    <mergeCell ref="Y387:AD387"/>
    <mergeCell ref="AF387:AL387"/>
    <mergeCell ref="A386:C386"/>
    <mergeCell ref="M386:P386"/>
    <mergeCell ref="Q386:R386"/>
    <mergeCell ref="T386:V386"/>
    <mergeCell ref="Y386:AD386"/>
    <mergeCell ref="AF386:AL386"/>
    <mergeCell ref="A397:C397"/>
    <mergeCell ref="L397:P397"/>
    <mergeCell ref="Q397:R397"/>
    <mergeCell ref="T397:V397"/>
    <mergeCell ref="Y397:AD397"/>
    <mergeCell ref="AF397:AL397"/>
    <mergeCell ref="A396:C396"/>
    <mergeCell ref="K396:P396"/>
    <mergeCell ref="Q396:R396"/>
    <mergeCell ref="T396:V396"/>
    <mergeCell ref="Y396:AD396"/>
    <mergeCell ref="AF396:AL396"/>
    <mergeCell ref="A395:C395"/>
    <mergeCell ref="J395:P395"/>
    <mergeCell ref="Q395:R395"/>
    <mergeCell ref="T395:V395"/>
    <mergeCell ref="Y395:AD395"/>
    <mergeCell ref="AF395:AL395"/>
    <mergeCell ref="A394:C394"/>
    <mergeCell ref="M394:P394"/>
    <mergeCell ref="Q394:R394"/>
    <mergeCell ref="T394:V394"/>
    <mergeCell ref="Y394:AD394"/>
    <mergeCell ref="AF394:AL394"/>
    <mergeCell ref="A393:C393"/>
    <mergeCell ref="L393:P393"/>
    <mergeCell ref="Q393:R393"/>
    <mergeCell ref="T393:V393"/>
    <mergeCell ref="Y393:AD393"/>
    <mergeCell ref="AF393:AL393"/>
    <mergeCell ref="A392:C392"/>
    <mergeCell ref="K392:P392"/>
    <mergeCell ref="Q392:R392"/>
    <mergeCell ref="T392:V392"/>
    <mergeCell ref="Y392:AD392"/>
    <mergeCell ref="AF392:AL392"/>
    <mergeCell ref="A403:C403"/>
    <mergeCell ref="L403:P403"/>
    <mergeCell ref="Q403:R403"/>
    <mergeCell ref="T403:V403"/>
    <mergeCell ref="Y403:AD403"/>
    <mergeCell ref="AF403:AL403"/>
    <mergeCell ref="A402:C402"/>
    <mergeCell ref="K402:P402"/>
    <mergeCell ref="Q402:R402"/>
    <mergeCell ref="T402:V402"/>
    <mergeCell ref="Y402:AD402"/>
    <mergeCell ref="AF402:AL402"/>
    <mergeCell ref="A401:C401"/>
    <mergeCell ref="M401:P401"/>
    <mergeCell ref="Q401:R401"/>
    <mergeCell ref="T401:V401"/>
    <mergeCell ref="Y401:AD401"/>
    <mergeCell ref="AF401:AL401"/>
    <mergeCell ref="A400:C400"/>
    <mergeCell ref="L400:P400"/>
    <mergeCell ref="Q400:R400"/>
    <mergeCell ref="T400:V400"/>
    <mergeCell ref="Y400:AD400"/>
    <mergeCell ref="AF400:AL400"/>
    <mergeCell ref="A399:C399"/>
    <mergeCell ref="K399:P399"/>
    <mergeCell ref="Q399:R399"/>
    <mergeCell ref="T399:V399"/>
    <mergeCell ref="Y399:AD399"/>
    <mergeCell ref="AF399:AL399"/>
    <mergeCell ref="A398:C398"/>
    <mergeCell ref="M398:P398"/>
    <mergeCell ref="Q398:R398"/>
    <mergeCell ref="T398:V398"/>
    <mergeCell ref="Y398:AD398"/>
    <mergeCell ref="AF398:AL398"/>
    <mergeCell ref="A409:C409"/>
    <mergeCell ref="L409:P409"/>
    <mergeCell ref="Q409:R409"/>
    <mergeCell ref="T409:V409"/>
    <mergeCell ref="Y409:AD409"/>
    <mergeCell ref="AF409:AL409"/>
    <mergeCell ref="A408:C408"/>
    <mergeCell ref="K408:P408"/>
    <mergeCell ref="Q408:R408"/>
    <mergeCell ref="T408:V408"/>
    <mergeCell ref="Y408:AD408"/>
    <mergeCell ref="AF408:AL408"/>
    <mergeCell ref="A407:C407"/>
    <mergeCell ref="M407:P407"/>
    <mergeCell ref="Q407:R407"/>
    <mergeCell ref="T407:V407"/>
    <mergeCell ref="Y407:AD407"/>
    <mergeCell ref="AF407:AL407"/>
    <mergeCell ref="A406:C406"/>
    <mergeCell ref="L406:P406"/>
    <mergeCell ref="Q406:R406"/>
    <mergeCell ref="T406:V406"/>
    <mergeCell ref="Y406:AD406"/>
    <mergeCell ref="AF406:AL406"/>
    <mergeCell ref="A405:C405"/>
    <mergeCell ref="K405:P405"/>
    <mergeCell ref="Q405:R405"/>
    <mergeCell ref="T405:V405"/>
    <mergeCell ref="Y405:AD405"/>
    <mergeCell ref="AF405:AL405"/>
    <mergeCell ref="A404:C404"/>
    <mergeCell ref="M404:P404"/>
    <mergeCell ref="Q404:R404"/>
    <mergeCell ref="T404:V404"/>
    <mergeCell ref="Y404:AD404"/>
    <mergeCell ref="AF404:AL404"/>
    <mergeCell ref="A415:C415"/>
    <mergeCell ref="K415:P415"/>
    <mergeCell ref="Q415:R415"/>
    <mergeCell ref="T415:V415"/>
    <mergeCell ref="Y415:AD415"/>
    <mergeCell ref="AF415:AL415"/>
    <mergeCell ref="A414:C414"/>
    <mergeCell ref="M414:P414"/>
    <mergeCell ref="Q414:R414"/>
    <mergeCell ref="T414:V414"/>
    <mergeCell ref="Y414:AD414"/>
    <mergeCell ref="AF414:AL414"/>
    <mergeCell ref="A413:C413"/>
    <mergeCell ref="L413:P413"/>
    <mergeCell ref="Q413:R413"/>
    <mergeCell ref="T413:V413"/>
    <mergeCell ref="Y413:AD413"/>
    <mergeCell ref="AF413:AL413"/>
    <mergeCell ref="A412:C412"/>
    <mergeCell ref="K412:P412"/>
    <mergeCell ref="Q412:R412"/>
    <mergeCell ref="T412:V412"/>
    <mergeCell ref="Y412:AD412"/>
    <mergeCell ref="AF412:AL412"/>
    <mergeCell ref="A411:C411"/>
    <mergeCell ref="J411:P411"/>
    <mergeCell ref="Q411:R411"/>
    <mergeCell ref="T411:V411"/>
    <mergeCell ref="Y411:AD411"/>
    <mergeCell ref="AF411:AL411"/>
    <mergeCell ref="A410:C410"/>
    <mergeCell ref="M410:P410"/>
    <mergeCell ref="Q410:R410"/>
    <mergeCell ref="T410:V410"/>
    <mergeCell ref="Y410:AD410"/>
    <mergeCell ref="AF410:AL410"/>
    <mergeCell ref="A421:C421"/>
    <mergeCell ref="K421:P421"/>
    <mergeCell ref="Q421:R421"/>
    <mergeCell ref="T421:V421"/>
    <mergeCell ref="Y421:AD421"/>
    <mergeCell ref="AF421:AL421"/>
    <mergeCell ref="A420:C420"/>
    <mergeCell ref="M420:P420"/>
    <mergeCell ref="Q420:R420"/>
    <mergeCell ref="T420:V420"/>
    <mergeCell ref="Y420:AD420"/>
    <mergeCell ref="AF420:AL420"/>
    <mergeCell ref="A419:C419"/>
    <mergeCell ref="L419:P419"/>
    <mergeCell ref="Q419:R419"/>
    <mergeCell ref="T419:V419"/>
    <mergeCell ref="Y419:AD419"/>
    <mergeCell ref="AF419:AL419"/>
    <mergeCell ref="A418:C418"/>
    <mergeCell ref="K418:P418"/>
    <mergeCell ref="Q418:R418"/>
    <mergeCell ref="T418:V418"/>
    <mergeCell ref="Y418:AD418"/>
    <mergeCell ref="AF418:AL418"/>
    <mergeCell ref="A417:C417"/>
    <mergeCell ref="M417:P417"/>
    <mergeCell ref="Q417:R417"/>
    <mergeCell ref="T417:V417"/>
    <mergeCell ref="Y417:AD417"/>
    <mergeCell ref="AF417:AL417"/>
    <mergeCell ref="A416:C416"/>
    <mergeCell ref="L416:P416"/>
    <mergeCell ref="Q416:R416"/>
    <mergeCell ref="T416:V416"/>
    <mergeCell ref="Y416:AD416"/>
    <mergeCell ref="AF416:AL416"/>
    <mergeCell ref="A427:C427"/>
    <mergeCell ref="L427:P427"/>
    <mergeCell ref="Q427:R427"/>
    <mergeCell ref="T427:V427"/>
    <mergeCell ref="Y427:AD427"/>
    <mergeCell ref="AF427:AL427"/>
    <mergeCell ref="A426:C426"/>
    <mergeCell ref="K426:P426"/>
    <mergeCell ref="Q426:R426"/>
    <mergeCell ref="T426:V426"/>
    <mergeCell ref="Y426:AD426"/>
    <mergeCell ref="AF426:AL426"/>
    <mergeCell ref="A425:C425"/>
    <mergeCell ref="J425:P425"/>
    <mergeCell ref="Q425:R425"/>
    <mergeCell ref="T425:V425"/>
    <mergeCell ref="Y425:AD425"/>
    <mergeCell ref="AF425:AL425"/>
    <mergeCell ref="A424:C424"/>
    <mergeCell ref="I424:P424"/>
    <mergeCell ref="Q424:R424"/>
    <mergeCell ref="T424:V424"/>
    <mergeCell ref="Y424:AD424"/>
    <mergeCell ref="AF424:AL424"/>
    <mergeCell ref="A423:C423"/>
    <mergeCell ref="M423:P423"/>
    <mergeCell ref="Q423:R423"/>
    <mergeCell ref="T423:V423"/>
    <mergeCell ref="Y423:AD423"/>
    <mergeCell ref="AF423:AL423"/>
    <mergeCell ref="A422:C422"/>
    <mergeCell ref="L422:P422"/>
    <mergeCell ref="Q422:R422"/>
    <mergeCell ref="T422:V422"/>
    <mergeCell ref="Y422:AD422"/>
    <mergeCell ref="AF422:AL422"/>
    <mergeCell ref="A433:C433"/>
    <mergeCell ref="M433:P433"/>
    <mergeCell ref="Q433:R433"/>
    <mergeCell ref="T433:V433"/>
    <mergeCell ref="Y433:AD433"/>
    <mergeCell ref="AF433:AL433"/>
    <mergeCell ref="A432:C432"/>
    <mergeCell ref="M432:P432"/>
    <mergeCell ref="Q432:R432"/>
    <mergeCell ref="T432:V432"/>
    <mergeCell ref="Y432:AD432"/>
    <mergeCell ref="AF432:AL432"/>
    <mergeCell ref="A431:C431"/>
    <mergeCell ref="M431:P431"/>
    <mergeCell ref="Q431:R431"/>
    <mergeCell ref="T431:V431"/>
    <mergeCell ref="Y431:AD431"/>
    <mergeCell ref="AF431:AL431"/>
    <mergeCell ref="A430:C430"/>
    <mergeCell ref="M430:P430"/>
    <mergeCell ref="Q430:R430"/>
    <mergeCell ref="T430:V430"/>
    <mergeCell ref="Y430:AD430"/>
    <mergeCell ref="AF430:AL430"/>
    <mergeCell ref="A429:C429"/>
    <mergeCell ref="M429:P429"/>
    <mergeCell ref="Q429:R429"/>
    <mergeCell ref="T429:V429"/>
    <mergeCell ref="Y429:AD429"/>
    <mergeCell ref="AF429:AL429"/>
    <mergeCell ref="A428:C428"/>
    <mergeCell ref="M428:P428"/>
    <mergeCell ref="Q428:R428"/>
    <mergeCell ref="T428:V428"/>
    <mergeCell ref="Y428:AD428"/>
    <mergeCell ref="AF428:AL428"/>
    <mergeCell ref="A439:C439"/>
    <mergeCell ref="L439:P439"/>
    <mergeCell ref="Q439:R439"/>
    <mergeCell ref="T439:V439"/>
    <mergeCell ref="Y439:AD439"/>
    <mergeCell ref="AF439:AL439"/>
    <mergeCell ref="A438:C438"/>
    <mergeCell ref="K438:P438"/>
    <mergeCell ref="Q438:R438"/>
    <mergeCell ref="T438:V438"/>
    <mergeCell ref="Y438:AD438"/>
    <mergeCell ref="AF438:AL438"/>
    <mergeCell ref="A437:C437"/>
    <mergeCell ref="M437:P437"/>
    <mergeCell ref="Q437:R437"/>
    <mergeCell ref="T437:V437"/>
    <mergeCell ref="Y437:AD437"/>
    <mergeCell ref="AF437:AL437"/>
    <mergeCell ref="A436:C436"/>
    <mergeCell ref="M436:P436"/>
    <mergeCell ref="Q436:R436"/>
    <mergeCell ref="T436:V436"/>
    <mergeCell ref="Y436:AD436"/>
    <mergeCell ref="AF436:AL436"/>
    <mergeCell ref="A435:C435"/>
    <mergeCell ref="L435:P435"/>
    <mergeCell ref="Q435:R435"/>
    <mergeCell ref="T435:V435"/>
    <mergeCell ref="Y435:AD435"/>
    <mergeCell ref="AF435:AL435"/>
    <mergeCell ref="A434:C434"/>
    <mergeCell ref="K434:P434"/>
    <mergeCell ref="Q434:R434"/>
    <mergeCell ref="T434:V434"/>
    <mergeCell ref="Y434:AD434"/>
    <mergeCell ref="AF434:AL434"/>
    <mergeCell ref="A445:C445"/>
    <mergeCell ref="M445:P445"/>
    <mergeCell ref="Q445:R445"/>
    <mergeCell ref="T445:V445"/>
    <mergeCell ref="Y445:AD445"/>
    <mergeCell ref="AF445:AL445"/>
    <mergeCell ref="A444:C444"/>
    <mergeCell ref="M444:P444"/>
    <mergeCell ref="Q444:R444"/>
    <mergeCell ref="T444:V444"/>
    <mergeCell ref="Y444:AD444"/>
    <mergeCell ref="AF444:AL444"/>
    <mergeCell ref="A443:C443"/>
    <mergeCell ref="L443:P443"/>
    <mergeCell ref="Q443:R443"/>
    <mergeCell ref="T443:V443"/>
    <mergeCell ref="Y443:AD443"/>
    <mergeCell ref="AF443:AL443"/>
    <mergeCell ref="A442:C442"/>
    <mergeCell ref="K442:P442"/>
    <mergeCell ref="Q442:R442"/>
    <mergeCell ref="T442:V442"/>
    <mergeCell ref="Y442:AD442"/>
    <mergeCell ref="AF442:AL442"/>
    <mergeCell ref="A441:C441"/>
    <mergeCell ref="J441:P441"/>
    <mergeCell ref="Q441:R441"/>
    <mergeCell ref="T441:V441"/>
    <mergeCell ref="Y441:AD441"/>
    <mergeCell ref="AF441:AL441"/>
    <mergeCell ref="A440:C440"/>
    <mergeCell ref="M440:P440"/>
    <mergeCell ref="Q440:R440"/>
    <mergeCell ref="T440:V440"/>
    <mergeCell ref="Y440:AD440"/>
    <mergeCell ref="AF440:AL440"/>
    <mergeCell ref="A451:C451"/>
    <mergeCell ref="L451:P451"/>
    <mergeCell ref="Q451:R451"/>
    <mergeCell ref="T451:V451"/>
    <mergeCell ref="Y451:AD451"/>
    <mergeCell ref="AF451:AL451"/>
    <mergeCell ref="A450:C450"/>
    <mergeCell ref="K450:P450"/>
    <mergeCell ref="Q450:R450"/>
    <mergeCell ref="T450:V450"/>
    <mergeCell ref="Y450:AD450"/>
    <mergeCell ref="AF450:AL450"/>
    <mergeCell ref="A449:C449"/>
    <mergeCell ref="M449:P449"/>
    <mergeCell ref="Q449:R449"/>
    <mergeCell ref="T449:V449"/>
    <mergeCell ref="Y449:AD449"/>
    <mergeCell ref="AF449:AL449"/>
    <mergeCell ref="A448:C448"/>
    <mergeCell ref="M448:P448"/>
    <mergeCell ref="Q448:R448"/>
    <mergeCell ref="T448:V448"/>
    <mergeCell ref="Y448:AD448"/>
    <mergeCell ref="AF448:AL448"/>
    <mergeCell ref="A447:C447"/>
    <mergeCell ref="M447:P447"/>
    <mergeCell ref="Q447:R447"/>
    <mergeCell ref="T447:V447"/>
    <mergeCell ref="Y447:AD447"/>
    <mergeCell ref="AF447:AL447"/>
    <mergeCell ref="A446:C446"/>
    <mergeCell ref="M446:P446"/>
    <mergeCell ref="Q446:R446"/>
    <mergeCell ref="T446:V446"/>
    <mergeCell ref="Y446:AD446"/>
    <mergeCell ref="AF446:AL446"/>
    <mergeCell ref="A457:C457"/>
    <mergeCell ref="J457:P457"/>
    <mergeCell ref="Q457:R457"/>
    <mergeCell ref="T457:V457"/>
    <mergeCell ref="Y457:AD457"/>
    <mergeCell ref="AF457:AL457"/>
    <mergeCell ref="A456:C456"/>
    <mergeCell ref="M456:P456"/>
    <mergeCell ref="Q456:R456"/>
    <mergeCell ref="T456:V456"/>
    <mergeCell ref="Y456:AD456"/>
    <mergeCell ref="AF456:AL456"/>
    <mergeCell ref="A455:C455"/>
    <mergeCell ref="L455:P455"/>
    <mergeCell ref="Q455:R455"/>
    <mergeCell ref="T455:V455"/>
    <mergeCell ref="Y455:AD455"/>
    <mergeCell ref="AF455:AL455"/>
    <mergeCell ref="A454:C454"/>
    <mergeCell ref="K454:P454"/>
    <mergeCell ref="Q454:R454"/>
    <mergeCell ref="T454:V454"/>
    <mergeCell ref="Y454:AD454"/>
    <mergeCell ref="AF454:AL454"/>
    <mergeCell ref="A453:C453"/>
    <mergeCell ref="M453:P453"/>
    <mergeCell ref="Q453:R453"/>
    <mergeCell ref="T453:V453"/>
    <mergeCell ref="Y453:AD453"/>
    <mergeCell ref="AF453:AL453"/>
    <mergeCell ref="A452:C452"/>
    <mergeCell ref="M452:P452"/>
    <mergeCell ref="Q452:R452"/>
    <mergeCell ref="T452:V452"/>
    <mergeCell ref="Y452:AD452"/>
    <mergeCell ref="AF452:AL452"/>
    <mergeCell ref="A463:C463"/>
    <mergeCell ref="M463:P463"/>
    <mergeCell ref="Q463:R463"/>
    <mergeCell ref="T463:V463"/>
    <mergeCell ref="Y463:AD463"/>
    <mergeCell ref="AF463:AL463"/>
    <mergeCell ref="A462:C462"/>
    <mergeCell ref="M462:P462"/>
    <mergeCell ref="Q462:R462"/>
    <mergeCell ref="T462:V462"/>
    <mergeCell ref="Y462:AD462"/>
    <mergeCell ref="AF462:AL462"/>
    <mergeCell ref="A461:C461"/>
    <mergeCell ref="M461:P461"/>
    <mergeCell ref="Q461:R461"/>
    <mergeCell ref="T461:V461"/>
    <mergeCell ref="Y461:AD461"/>
    <mergeCell ref="AF461:AL461"/>
    <mergeCell ref="A460:C460"/>
    <mergeCell ref="K460:P460"/>
    <mergeCell ref="Q460:R460"/>
    <mergeCell ref="T460:V460"/>
    <mergeCell ref="Y460:AD460"/>
    <mergeCell ref="AF460:AL460"/>
    <mergeCell ref="A459:C459"/>
    <mergeCell ref="M459:P459"/>
    <mergeCell ref="Q459:R459"/>
    <mergeCell ref="T459:V459"/>
    <mergeCell ref="Y459:AD459"/>
    <mergeCell ref="AF459:AL459"/>
    <mergeCell ref="A458:C458"/>
    <mergeCell ref="K458:P458"/>
    <mergeCell ref="Q458:R458"/>
    <mergeCell ref="T458:V458"/>
    <mergeCell ref="Y458:AD458"/>
    <mergeCell ref="AF458:AL458"/>
    <mergeCell ref="A469:C469"/>
    <mergeCell ref="I469:P469"/>
    <mergeCell ref="Q469:R469"/>
    <mergeCell ref="T469:V469"/>
    <mergeCell ref="Y469:AD469"/>
    <mergeCell ref="AF469:AL469"/>
    <mergeCell ref="A468:C468"/>
    <mergeCell ref="H468:P468"/>
    <mergeCell ref="Q468:R468"/>
    <mergeCell ref="T468:V468"/>
    <mergeCell ref="Y468:AD468"/>
    <mergeCell ref="AF468:AL468"/>
    <mergeCell ref="A467:C467"/>
    <mergeCell ref="M467:P467"/>
    <mergeCell ref="Q467:R467"/>
    <mergeCell ref="T467:V467"/>
    <mergeCell ref="Y467:AD467"/>
    <mergeCell ref="AF467:AL467"/>
    <mergeCell ref="A466:C466"/>
    <mergeCell ref="M466:P466"/>
    <mergeCell ref="Q466:R466"/>
    <mergeCell ref="T466:V466"/>
    <mergeCell ref="Y466:AD466"/>
    <mergeCell ref="AF466:AL466"/>
    <mergeCell ref="A465:C465"/>
    <mergeCell ref="K465:P465"/>
    <mergeCell ref="Q465:R465"/>
    <mergeCell ref="T465:V465"/>
    <mergeCell ref="Y465:AD465"/>
    <mergeCell ref="AF465:AL465"/>
    <mergeCell ref="A464:C464"/>
    <mergeCell ref="M464:P464"/>
    <mergeCell ref="Q464:R464"/>
    <mergeCell ref="T464:V464"/>
    <mergeCell ref="Y464:AD464"/>
    <mergeCell ref="AF464:AL464"/>
    <mergeCell ref="A475:C475"/>
    <mergeCell ref="L475:P475"/>
    <mergeCell ref="Q475:R475"/>
    <mergeCell ref="T475:V475"/>
    <mergeCell ref="Y475:AD475"/>
    <mergeCell ref="AF475:AL475"/>
    <mergeCell ref="A474:C474"/>
    <mergeCell ref="K474:P474"/>
    <mergeCell ref="Q474:R474"/>
    <mergeCell ref="T474:V474"/>
    <mergeCell ref="Y474:AD474"/>
    <mergeCell ref="AF474:AL474"/>
    <mergeCell ref="A473:C473"/>
    <mergeCell ref="M473:P473"/>
    <mergeCell ref="Q473:R473"/>
    <mergeCell ref="T473:V473"/>
    <mergeCell ref="Y473:AD473"/>
    <mergeCell ref="AF473:AL473"/>
    <mergeCell ref="A472:C472"/>
    <mergeCell ref="L472:P472"/>
    <mergeCell ref="Q472:R472"/>
    <mergeCell ref="T472:V472"/>
    <mergeCell ref="Y472:AD472"/>
    <mergeCell ref="AF472:AL472"/>
    <mergeCell ref="A471:C471"/>
    <mergeCell ref="K471:P471"/>
    <mergeCell ref="Q471:R471"/>
    <mergeCell ref="T471:V471"/>
    <mergeCell ref="Y471:AD471"/>
    <mergeCell ref="AF471:AL471"/>
    <mergeCell ref="A470:C470"/>
    <mergeCell ref="J470:P470"/>
    <mergeCell ref="Q470:R470"/>
    <mergeCell ref="T470:V470"/>
    <mergeCell ref="Y470:AD470"/>
    <mergeCell ref="AF470:AL470"/>
    <mergeCell ref="A481:C481"/>
    <mergeCell ref="M481:P481"/>
    <mergeCell ref="Q481:R481"/>
    <mergeCell ref="T481:V481"/>
    <mergeCell ref="Y481:AD481"/>
    <mergeCell ref="AF481:AL481"/>
    <mergeCell ref="A480:C480"/>
    <mergeCell ref="M480:P480"/>
    <mergeCell ref="Q480:R480"/>
    <mergeCell ref="T480:V480"/>
    <mergeCell ref="Y480:AD480"/>
    <mergeCell ref="AF480:AL480"/>
    <mergeCell ref="A479:C479"/>
    <mergeCell ref="L479:P479"/>
    <mergeCell ref="Q479:R479"/>
    <mergeCell ref="T479:V479"/>
    <mergeCell ref="Y479:AD479"/>
    <mergeCell ref="AF479:AL479"/>
    <mergeCell ref="A478:C478"/>
    <mergeCell ref="M478:P478"/>
    <mergeCell ref="Q478:R478"/>
    <mergeCell ref="T478:V478"/>
    <mergeCell ref="Y478:AD478"/>
    <mergeCell ref="AF478:AL478"/>
    <mergeCell ref="A477:C477"/>
    <mergeCell ref="L477:P477"/>
    <mergeCell ref="Q477:R477"/>
    <mergeCell ref="T477:V477"/>
    <mergeCell ref="Y477:AD477"/>
    <mergeCell ref="AF477:AL477"/>
    <mergeCell ref="A476:C476"/>
    <mergeCell ref="M476:P476"/>
    <mergeCell ref="Q476:R476"/>
    <mergeCell ref="T476:V476"/>
    <mergeCell ref="Y476:AD476"/>
    <mergeCell ref="AF476:AL476"/>
    <mergeCell ref="A487:C487"/>
    <mergeCell ref="L487:P487"/>
    <mergeCell ref="Q487:R487"/>
    <mergeCell ref="T487:V487"/>
    <mergeCell ref="Y487:AD487"/>
    <mergeCell ref="AF487:AL487"/>
    <mergeCell ref="A486:C486"/>
    <mergeCell ref="K486:P486"/>
    <mergeCell ref="Q486:R486"/>
    <mergeCell ref="T486:V486"/>
    <mergeCell ref="Y486:AD486"/>
    <mergeCell ref="AF486:AL486"/>
    <mergeCell ref="A485:C485"/>
    <mergeCell ref="M485:P485"/>
    <mergeCell ref="Q485:R485"/>
    <mergeCell ref="T485:V485"/>
    <mergeCell ref="Y485:AD485"/>
    <mergeCell ref="AF485:AL485"/>
    <mergeCell ref="A484:C484"/>
    <mergeCell ref="L484:P484"/>
    <mergeCell ref="Q484:R484"/>
    <mergeCell ref="T484:V484"/>
    <mergeCell ref="Y484:AD484"/>
    <mergeCell ref="AF484:AL484"/>
    <mergeCell ref="A483:C483"/>
    <mergeCell ref="K483:P483"/>
    <mergeCell ref="Q483:R483"/>
    <mergeCell ref="T483:V483"/>
    <mergeCell ref="Y483:AD483"/>
    <mergeCell ref="AF483:AL483"/>
    <mergeCell ref="A482:C482"/>
    <mergeCell ref="J482:P482"/>
    <mergeCell ref="Q482:R482"/>
    <mergeCell ref="T482:V482"/>
    <mergeCell ref="Y482:AD482"/>
    <mergeCell ref="AF482:AL482"/>
    <mergeCell ref="A493:C493"/>
    <mergeCell ref="M493:P493"/>
    <mergeCell ref="Q493:R493"/>
    <mergeCell ref="T493:V493"/>
    <mergeCell ref="Y493:AD493"/>
    <mergeCell ref="AF493:AL493"/>
    <mergeCell ref="A492:C492"/>
    <mergeCell ref="M492:P492"/>
    <mergeCell ref="Q492:R492"/>
    <mergeCell ref="T492:V492"/>
    <mergeCell ref="Y492:AD492"/>
    <mergeCell ref="AF492:AL492"/>
    <mergeCell ref="A491:C491"/>
    <mergeCell ref="L491:P491"/>
    <mergeCell ref="Q491:R491"/>
    <mergeCell ref="T491:V491"/>
    <mergeCell ref="Y491:AD491"/>
    <mergeCell ref="AF491:AL491"/>
    <mergeCell ref="A490:C490"/>
    <mergeCell ref="M490:P490"/>
    <mergeCell ref="Q490:R490"/>
    <mergeCell ref="T490:V490"/>
    <mergeCell ref="Y490:AD490"/>
    <mergeCell ref="AF490:AL490"/>
    <mergeCell ref="A489:C489"/>
    <mergeCell ref="L489:P489"/>
    <mergeCell ref="Q489:R489"/>
    <mergeCell ref="T489:V489"/>
    <mergeCell ref="Y489:AD489"/>
    <mergeCell ref="AF489:AL489"/>
    <mergeCell ref="A488:C488"/>
    <mergeCell ref="M488:P488"/>
    <mergeCell ref="Q488:R488"/>
    <mergeCell ref="T488:V488"/>
    <mergeCell ref="Y488:AD488"/>
    <mergeCell ref="AF488:AL488"/>
    <mergeCell ref="A499:C499"/>
    <mergeCell ref="K499:P499"/>
    <mergeCell ref="Q499:R499"/>
    <mergeCell ref="T499:V499"/>
    <mergeCell ref="Y499:AD499"/>
    <mergeCell ref="AF499:AL499"/>
    <mergeCell ref="A498:C498"/>
    <mergeCell ref="J498:P498"/>
    <mergeCell ref="Q498:R498"/>
    <mergeCell ref="T498:V498"/>
    <mergeCell ref="Y498:AD498"/>
    <mergeCell ref="AF498:AL498"/>
    <mergeCell ref="A497:C497"/>
    <mergeCell ref="M497:P497"/>
    <mergeCell ref="Q497:R497"/>
    <mergeCell ref="T497:V497"/>
    <mergeCell ref="Y497:AD497"/>
    <mergeCell ref="AF497:AL497"/>
    <mergeCell ref="A496:C496"/>
    <mergeCell ref="L496:P496"/>
    <mergeCell ref="Q496:R496"/>
    <mergeCell ref="T496:V496"/>
    <mergeCell ref="Y496:AD496"/>
    <mergeCell ref="AF496:AL496"/>
    <mergeCell ref="A495:C495"/>
    <mergeCell ref="K495:P495"/>
    <mergeCell ref="Q495:R495"/>
    <mergeCell ref="T495:V495"/>
    <mergeCell ref="Y495:AD495"/>
    <mergeCell ref="AF495:AL495"/>
    <mergeCell ref="A494:C494"/>
    <mergeCell ref="J494:P494"/>
    <mergeCell ref="Q494:R494"/>
    <mergeCell ref="T494:V494"/>
    <mergeCell ref="Y494:AD494"/>
    <mergeCell ref="AF494:AL494"/>
    <mergeCell ref="A505:C505"/>
    <mergeCell ref="M505:P505"/>
    <mergeCell ref="Q505:R505"/>
    <mergeCell ref="T505:V505"/>
    <mergeCell ref="Y505:AD505"/>
    <mergeCell ref="AF505:AL505"/>
    <mergeCell ref="A504:C504"/>
    <mergeCell ref="K504:P504"/>
    <mergeCell ref="Q504:R504"/>
    <mergeCell ref="T504:V504"/>
    <mergeCell ref="Y504:AD504"/>
    <mergeCell ref="AF504:AL504"/>
    <mergeCell ref="A503:C503"/>
    <mergeCell ref="J503:P503"/>
    <mergeCell ref="Q503:R503"/>
    <mergeCell ref="T503:V503"/>
    <mergeCell ref="Y503:AD503"/>
    <mergeCell ref="AF503:AL503"/>
    <mergeCell ref="A502:C502"/>
    <mergeCell ref="I502:P502"/>
    <mergeCell ref="Q502:R502"/>
    <mergeCell ref="T502:V502"/>
    <mergeCell ref="Y502:AD502"/>
    <mergeCell ref="AF502:AL502"/>
    <mergeCell ref="A501:C501"/>
    <mergeCell ref="M501:P501"/>
    <mergeCell ref="Q501:R501"/>
    <mergeCell ref="T501:V501"/>
    <mergeCell ref="Y501:AD501"/>
    <mergeCell ref="AF501:AL501"/>
    <mergeCell ref="A500:C500"/>
    <mergeCell ref="L500:P500"/>
    <mergeCell ref="Q500:R500"/>
    <mergeCell ref="T500:V500"/>
    <mergeCell ref="Y500:AD500"/>
    <mergeCell ref="AF500:AL500"/>
    <mergeCell ref="A511:C511"/>
    <mergeCell ref="J511:P511"/>
    <mergeCell ref="Q511:R511"/>
    <mergeCell ref="T511:V511"/>
    <mergeCell ref="Y511:AD511"/>
    <mergeCell ref="AF511:AL511"/>
    <mergeCell ref="A510:C510"/>
    <mergeCell ref="M510:P510"/>
    <mergeCell ref="Q510:R510"/>
    <mergeCell ref="T510:V510"/>
    <mergeCell ref="Y510:AD510"/>
    <mergeCell ref="AF510:AL510"/>
    <mergeCell ref="A509:C509"/>
    <mergeCell ref="L509:P509"/>
    <mergeCell ref="Q509:R509"/>
    <mergeCell ref="T509:V509"/>
    <mergeCell ref="Y509:AD509"/>
    <mergeCell ref="AF509:AL509"/>
    <mergeCell ref="A508:C508"/>
    <mergeCell ref="K508:P508"/>
    <mergeCell ref="Q508:R508"/>
    <mergeCell ref="T508:V508"/>
    <mergeCell ref="Y508:AD508"/>
    <mergeCell ref="AF508:AL508"/>
    <mergeCell ref="A507:C507"/>
    <mergeCell ref="J507:P507"/>
    <mergeCell ref="Q507:R507"/>
    <mergeCell ref="T507:V507"/>
    <mergeCell ref="Y507:AD507"/>
    <mergeCell ref="AF507:AL507"/>
    <mergeCell ref="A506:C506"/>
    <mergeCell ref="I506:P506"/>
    <mergeCell ref="Q506:R506"/>
    <mergeCell ref="T506:V506"/>
    <mergeCell ref="Y506:AD506"/>
    <mergeCell ref="AF506:AL506"/>
    <mergeCell ref="A517:C517"/>
    <mergeCell ref="H517:P517"/>
    <mergeCell ref="Q517:R517"/>
    <mergeCell ref="T517:V517"/>
    <mergeCell ref="Y517:AD517"/>
    <mergeCell ref="AF517:AL517"/>
    <mergeCell ref="A516:C516"/>
    <mergeCell ref="H516:P516"/>
    <mergeCell ref="Q516:R516"/>
    <mergeCell ref="T516:V516"/>
    <mergeCell ref="Y516:AD516"/>
    <mergeCell ref="AF516:AL516"/>
    <mergeCell ref="A515:C515"/>
    <mergeCell ref="H515:P515"/>
    <mergeCell ref="Q515:R515"/>
    <mergeCell ref="T515:V515"/>
    <mergeCell ref="Y515:AD515"/>
    <mergeCell ref="AF515:AL515"/>
    <mergeCell ref="A514:C514"/>
    <mergeCell ref="M514:P514"/>
    <mergeCell ref="Q514:R514"/>
    <mergeCell ref="T514:V514"/>
    <mergeCell ref="Y514:AD514"/>
    <mergeCell ref="AF514:AL514"/>
    <mergeCell ref="A513:C513"/>
    <mergeCell ref="L513:P513"/>
    <mergeCell ref="Q513:R513"/>
    <mergeCell ref="T513:V513"/>
    <mergeCell ref="Y513:AD513"/>
    <mergeCell ref="AF513:AL513"/>
    <mergeCell ref="A512:C512"/>
    <mergeCell ref="K512:P512"/>
    <mergeCell ref="Q512:R512"/>
    <mergeCell ref="T512:V512"/>
    <mergeCell ref="Y512:AD512"/>
    <mergeCell ref="AF512:AL512"/>
    <mergeCell ref="A523:C523"/>
    <mergeCell ref="L523:P523"/>
    <mergeCell ref="Q523:R523"/>
    <mergeCell ref="T523:V523"/>
    <mergeCell ref="Y523:AD523"/>
    <mergeCell ref="AF523:AL523"/>
    <mergeCell ref="A522:C522"/>
    <mergeCell ref="M522:P522"/>
    <mergeCell ref="Q522:R522"/>
    <mergeCell ref="T522:V522"/>
    <mergeCell ref="Y522:AD522"/>
    <mergeCell ref="AF522:AL522"/>
    <mergeCell ref="A521:C521"/>
    <mergeCell ref="L521:P521"/>
    <mergeCell ref="Q521:R521"/>
    <mergeCell ref="T521:V521"/>
    <mergeCell ref="Y521:AD521"/>
    <mergeCell ref="AF521:AL521"/>
    <mergeCell ref="A520:C520"/>
    <mergeCell ref="K520:P520"/>
    <mergeCell ref="Q520:R520"/>
    <mergeCell ref="T520:V520"/>
    <mergeCell ref="Y520:AD520"/>
    <mergeCell ref="AF520:AL520"/>
    <mergeCell ref="A519:C519"/>
    <mergeCell ref="J519:P519"/>
    <mergeCell ref="Q519:R519"/>
    <mergeCell ref="T519:V519"/>
    <mergeCell ref="Y519:AD519"/>
    <mergeCell ref="AF519:AL519"/>
    <mergeCell ref="A518:C518"/>
    <mergeCell ref="I518:P518"/>
    <mergeCell ref="Q518:R518"/>
    <mergeCell ref="T518:V518"/>
    <mergeCell ref="Y518:AD518"/>
    <mergeCell ref="AF518:AL518"/>
    <mergeCell ref="A529:C529"/>
    <mergeCell ref="M529:P529"/>
    <mergeCell ref="Q529:R529"/>
    <mergeCell ref="T529:V529"/>
    <mergeCell ref="Y529:AD529"/>
    <mergeCell ref="AF529:AL529"/>
    <mergeCell ref="A528:C528"/>
    <mergeCell ref="M528:P528"/>
    <mergeCell ref="Q528:R528"/>
    <mergeCell ref="T528:V528"/>
    <mergeCell ref="Y528:AD528"/>
    <mergeCell ref="AF528:AL528"/>
    <mergeCell ref="A527:C527"/>
    <mergeCell ref="K527:P527"/>
    <mergeCell ref="Q527:R527"/>
    <mergeCell ref="T527:V527"/>
    <mergeCell ref="Y527:AD527"/>
    <mergeCell ref="AF527:AL527"/>
    <mergeCell ref="A526:C526"/>
    <mergeCell ref="J526:P526"/>
    <mergeCell ref="Q526:R526"/>
    <mergeCell ref="T526:V526"/>
    <mergeCell ref="Y526:AD526"/>
    <mergeCell ref="AF526:AL526"/>
    <mergeCell ref="A525:C525"/>
    <mergeCell ref="I525:P525"/>
    <mergeCell ref="Q525:R525"/>
    <mergeCell ref="T525:V525"/>
    <mergeCell ref="Y525:AD525"/>
    <mergeCell ref="AF525:AL525"/>
    <mergeCell ref="A524:C524"/>
    <mergeCell ref="M524:P524"/>
    <mergeCell ref="Q524:R524"/>
    <mergeCell ref="T524:V524"/>
    <mergeCell ref="Y524:AD524"/>
    <mergeCell ref="AF524:AL524"/>
    <mergeCell ref="A535:C535"/>
    <mergeCell ref="M535:P535"/>
    <mergeCell ref="Q535:R535"/>
    <mergeCell ref="T535:V535"/>
    <mergeCell ref="Y535:AD535"/>
    <mergeCell ref="AF535:AL535"/>
    <mergeCell ref="A534:C534"/>
    <mergeCell ref="M534:P534"/>
    <mergeCell ref="Q534:R534"/>
    <mergeCell ref="T534:V534"/>
    <mergeCell ref="Y534:AD534"/>
    <mergeCell ref="AF534:AL534"/>
    <mergeCell ref="A533:C533"/>
    <mergeCell ref="M533:P533"/>
    <mergeCell ref="Q533:R533"/>
    <mergeCell ref="T533:V533"/>
    <mergeCell ref="Y533:AD533"/>
    <mergeCell ref="AF533:AL533"/>
    <mergeCell ref="A532:C532"/>
    <mergeCell ref="M532:P532"/>
    <mergeCell ref="Q532:R532"/>
    <mergeCell ref="T532:V532"/>
    <mergeCell ref="Y532:AD532"/>
    <mergeCell ref="AF532:AL532"/>
    <mergeCell ref="A531:C531"/>
    <mergeCell ref="M531:P531"/>
    <mergeCell ref="Q531:R531"/>
    <mergeCell ref="T531:V531"/>
    <mergeCell ref="Y531:AD531"/>
    <mergeCell ref="AF531:AL531"/>
    <mergeCell ref="A530:C530"/>
    <mergeCell ref="M530:P530"/>
    <mergeCell ref="Q530:R530"/>
    <mergeCell ref="T530:V530"/>
    <mergeCell ref="Y530:AD530"/>
    <mergeCell ref="AF530:AL530"/>
    <mergeCell ref="A541:C541"/>
    <mergeCell ref="M541:P541"/>
    <mergeCell ref="Q541:R541"/>
    <mergeCell ref="T541:V541"/>
    <mergeCell ref="Y541:AD541"/>
    <mergeCell ref="AF541:AL541"/>
    <mergeCell ref="A540:C540"/>
    <mergeCell ref="M540:P540"/>
    <mergeCell ref="Q540:R540"/>
    <mergeCell ref="T540:V540"/>
    <mergeCell ref="Y540:AD540"/>
    <mergeCell ref="AF540:AL540"/>
    <mergeCell ref="A539:C539"/>
    <mergeCell ref="L539:P539"/>
    <mergeCell ref="Q539:R539"/>
    <mergeCell ref="T539:V539"/>
    <mergeCell ref="Y539:AD539"/>
    <mergeCell ref="AF539:AL539"/>
    <mergeCell ref="A538:C538"/>
    <mergeCell ref="M538:P538"/>
    <mergeCell ref="Q538:R538"/>
    <mergeCell ref="T538:V538"/>
    <mergeCell ref="Y538:AD538"/>
    <mergeCell ref="AF538:AL538"/>
    <mergeCell ref="A537:C537"/>
    <mergeCell ref="M537:P537"/>
    <mergeCell ref="Q537:R537"/>
    <mergeCell ref="T537:V537"/>
    <mergeCell ref="Y537:AD537"/>
    <mergeCell ref="AF537:AL537"/>
    <mergeCell ref="A536:C536"/>
    <mergeCell ref="M536:P536"/>
    <mergeCell ref="Q536:R536"/>
    <mergeCell ref="T536:V536"/>
    <mergeCell ref="Y536:AD536"/>
    <mergeCell ref="AF536:AL536"/>
    <mergeCell ref="A547:C547"/>
    <mergeCell ref="M547:P547"/>
    <mergeCell ref="Q547:R547"/>
    <mergeCell ref="T547:V547"/>
    <mergeCell ref="Y547:AD547"/>
    <mergeCell ref="AF547:AL547"/>
    <mergeCell ref="A546:C546"/>
    <mergeCell ref="M546:P546"/>
    <mergeCell ref="Q546:R546"/>
    <mergeCell ref="T546:V546"/>
    <mergeCell ref="Y546:AD546"/>
    <mergeCell ref="AF546:AL546"/>
    <mergeCell ref="A545:C545"/>
    <mergeCell ref="M545:P545"/>
    <mergeCell ref="Q545:R545"/>
    <mergeCell ref="T545:V545"/>
    <mergeCell ref="Y545:AD545"/>
    <mergeCell ref="AF545:AL545"/>
    <mergeCell ref="A544:C544"/>
    <mergeCell ref="M544:P544"/>
    <mergeCell ref="Q544:R544"/>
    <mergeCell ref="T544:V544"/>
    <mergeCell ref="Y544:AD544"/>
    <mergeCell ref="AF544:AL544"/>
    <mergeCell ref="A543:C543"/>
    <mergeCell ref="M543:P543"/>
    <mergeCell ref="Q543:R543"/>
    <mergeCell ref="T543:V543"/>
    <mergeCell ref="Y543:AD543"/>
    <mergeCell ref="AF543:AL543"/>
    <mergeCell ref="A542:C542"/>
    <mergeCell ref="M542:P542"/>
    <mergeCell ref="Q542:R542"/>
    <mergeCell ref="T542:V542"/>
    <mergeCell ref="Y542:AD542"/>
    <mergeCell ref="AF542:AL542"/>
    <mergeCell ref="A553:C553"/>
    <mergeCell ref="M553:P553"/>
    <mergeCell ref="Q553:R553"/>
    <mergeCell ref="T553:V553"/>
    <mergeCell ref="Y553:AD553"/>
    <mergeCell ref="AF553:AL553"/>
    <mergeCell ref="A552:C552"/>
    <mergeCell ref="M552:P552"/>
    <mergeCell ref="Q552:R552"/>
    <mergeCell ref="T552:V552"/>
    <mergeCell ref="Y552:AD552"/>
    <mergeCell ref="AF552:AL552"/>
    <mergeCell ref="A551:C551"/>
    <mergeCell ref="M551:P551"/>
    <mergeCell ref="Q551:R551"/>
    <mergeCell ref="T551:V551"/>
    <mergeCell ref="Y551:AD551"/>
    <mergeCell ref="AF551:AL551"/>
    <mergeCell ref="A550:C550"/>
    <mergeCell ref="M550:P550"/>
    <mergeCell ref="Q550:R550"/>
    <mergeCell ref="T550:V550"/>
    <mergeCell ref="Y550:AD550"/>
    <mergeCell ref="AF550:AL550"/>
    <mergeCell ref="A549:C549"/>
    <mergeCell ref="M549:P549"/>
    <mergeCell ref="Q549:R549"/>
    <mergeCell ref="T549:V549"/>
    <mergeCell ref="Y549:AD549"/>
    <mergeCell ref="AF549:AL549"/>
    <mergeCell ref="A548:C548"/>
    <mergeCell ref="M548:P548"/>
    <mergeCell ref="Q548:R548"/>
    <mergeCell ref="T548:V548"/>
    <mergeCell ref="Y548:AD548"/>
    <mergeCell ref="AF548:AL548"/>
    <mergeCell ref="A559:C559"/>
    <mergeCell ref="M559:P559"/>
    <mergeCell ref="Q559:R559"/>
    <mergeCell ref="T559:V559"/>
    <mergeCell ref="Y559:AD559"/>
    <mergeCell ref="AF559:AL559"/>
    <mergeCell ref="A558:C558"/>
    <mergeCell ref="M558:P558"/>
    <mergeCell ref="Q558:R558"/>
    <mergeCell ref="T558:V558"/>
    <mergeCell ref="Y558:AD558"/>
    <mergeCell ref="AF558:AL558"/>
    <mergeCell ref="A557:C557"/>
    <mergeCell ref="M557:P557"/>
    <mergeCell ref="Q557:R557"/>
    <mergeCell ref="T557:V557"/>
    <mergeCell ref="Y557:AD557"/>
    <mergeCell ref="AF557:AL557"/>
    <mergeCell ref="A556:C556"/>
    <mergeCell ref="M556:P556"/>
    <mergeCell ref="Q556:R556"/>
    <mergeCell ref="T556:V556"/>
    <mergeCell ref="Y556:AD556"/>
    <mergeCell ref="AF556:AL556"/>
    <mergeCell ref="A555:C555"/>
    <mergeCell ref="M555:P555"/>
    <mergeCell ref="Q555:R555"/>
    <mergeCell ref="T555:V555"/>
    <mergeCell ref="Y555:AD555"/>
    <mergeCell ref="AF555:AL555"/>
    <mergeCell ref="A554:C554"/>
    <mergeCell ref="M554:P554"/>
    <mergeCell ref="Q554:R554"/>
    <mergeCell ref="T554:V554"/>
    <mergeCell ref="Y554:AD554"/>
    <mergeCell ref="AF554:AL554"/>
    <mergeCell ref="A565:C565"/>
    <mergeCell ref="M565:P565"/>
    <mergeCell ref="Q565:R565"/>
    <mergeCell ref="T565:V565"/>
    <mergeCell ref="Y565:AD565"/>
    <mergeCell ref="AF565:AL565"/>
    <mergeCell ref="A564:C564"/>
    <mergeCell ref="M564:P564"/>
    <mergeCell ref="Q564:R564"/>
    <mergeCell ref="T564:V564"/>
    <mergeCell ref="Y564:AD564"/>
    <mergeCell ref="AF564:AL564"/>
    <mergeCell ref="A563:C563"/>
    <mergeCell ref="M563:P563"/>
    <mergeCell ref="Q563:R563"/>
    <mergeCell ref="T563:V563"/>
    <mergeCell ref="Y563:AD563"/>
    <mergeCell ref="AF563:AL563"/>
    <mergeCell ref="A562:C562"/>
    <mergeCell ref="M562:P562"/>
    <mergeCell ref="Q562:R562"/>
    <mergeCell ref="T562:V562"/>
    <mergeCell ref="Y562:AD562"/>
    <mergeCell ref="AF562:AL562"/>
    <mergeCell ref="A561:C561"/>
    <mergeCell ref="M561:P561"/>
    <mergeCell ref="Q561:R561"/>
    <mergeCell ref="T561:V561"/>
    <mergeCell ref="Y561:AD561"/>
    <mergeCell ref="AF561:AL561"/>
    <mergeCell ref="A560:C560"/>
    <mergeCell ref="M560:P560"/>
    <mergeCell ref="Q560:R560"/>
    <mergeCell ref="T560:V560"/>
    <mergeCell ref="Y560:AD560"/>
    <mergeCell ref="AF560:AL560"/>
    <mergeCell ref="A571:C571"/>
    <mergeCell ref="M571:P571"/>
    <mergeCell ref="Q571:R571"/>
    <mergeCell ref="T571:V571"/>
    <mergeCell ref="Y571:AD571"/>
    <mergeCell ref="AF571:AL571"/>
    <mergeCell ref="A570:C570"/>
    <mergeCell ref="M570:P570"/>
    <mergeCell ref="Q570:R570"/>
    <mergeCell ref="T570:V570"/>
    <mergeCell ref="Y570:AD570"/>
    <mergeCell ref="AF570:AL570"/>
    <mergeCell ref="A569:C569"/>
    <mergeCell ref="M569:P569"/>
    <mergeCell ref="Q569:R569"/>
    <mergeCell ref="T569:V569"/>
    <mergeCell ref="Y569:AD569"/>
    <mergeCell ref="AF569:AL569"/>
    <mergeCell ref="A568:C568"/>
    <mergeCell ref="M568:P568"/>
    <mergeCell ref="Q568:R568"/>
    <mergeCell ref="T568:V568"/>
    <mergeCell ref="Y568:AD568"/>
    <mergeCell ref="AF568:AL568"/>
    <mergeCell ref="A567:C567"/>
    <mergeCell ref="M567:P567"/>
    <mergeCell ref="Q567:R567"/>
    <mergeCell ref="T567:V567"/>
    <mergeCell ref="Y567:AD567"/>
    <mergeCell ref="AF567:AL567"/>
    <mergeCell ref="A566:C566"/>
    <mergeCell ref="M566:P566"/>
    <mergeCell ref="Q566:R566"/>
    <mergeCell ref="T566:V566"/>
    <mergeCell ref="Y566:AD566"/>
    <mergeCell ref="AF566:AL566"/>
    <mergeCell ref="A577:C577"/>
    <mergeCell ref="M577:P577"/>
    <mergeCell ref="Q577:R577"/>
    <mergeCell ref="T577:V577"/>
    <mergeCell ref="Y577:AD577"/>
    <mergeCell ref="AF577:AL577"/>
    <mergeCell ref="A576:C576"/>
    <mergeCell ref="M576:P576"/>
    <mergeCell ref="Q576:R576"/>
    <mergeCell ref="T576:V576"/>
    <mergeCell ref="Y576:AD576"/>
    <mergeCell ref="AF576:AL576"/>
    <mergeCell ref="A575:C575"/>
    <mergeCell ref="M575:P575"/>
    <mergeCell ref="Q575:R575"/>
    <mergeCell ref="T575:V575"/>
    <mergeCell ref="Y575:AD575"/>
    <mergeCell ref="AF575:AL575"/>
    <mergeCell ref="A574:C574"/>
    <mergeCell ref="M574:P574"/>
    <mergeCell ref="Q574:R574"/>
    <mergeCell ref="T574:V574"/>
    <mergeCell ref="Y574:AD574"/>
    <mergeCell ref="AF574:AL574"/>
    <mergeCell ref="A573:C573"/>
    <mergeCell ref="M573:P573"/>
    <mergeCell ref="Q573:R573"/>
    <mergeCell ref="T573:V573"/>
    <mergeCell ref="Y573:AD573"/>
    <mergeCell ref="AF573:AL573"/>
    <mergeCell ref="A572:C572"/>
    <mergeCell ref="M572:P572"/>
    <mergeCell ref="Q572:R572"/>
    <mergeCell ref="T572:V572"/>
    <mergeCell ref="Y572:AD572"/>
    <mergeCell ref="AF572:AL572"/>
    <mergeCell ref="A583:C583"/>
    <mergeCell ref="M583:P583"/>
    <mergeCell ref="Q583:R583"/>
    <mergeCell ref="T583:V583"/>
    <mergeCell ref="Y583:AD583"/>
    <mergeCell ref="AF583:AL583"/>
    <mergeCell ref="A582:C582"/>
    <mergeCell ref="M582:P582"/>
    <mergeCell ref="Q582:R582"/>
    <mergeCell ref="T582:V582"/>
    <mergeCell ref="Y582:AD582"/>
    <mergeCell ref="AF582:AL582"/>
    <mergeCell ref="A581:C581"/>
    <mergeCell ref="M581:P581"/>
    <mergeCell ref="Q581:R581"/>
    <mergeCell ref="T581:V581"/>
    <mergeCell ref="Y581:AD581"/>
    <mergeCell ref="AF581:AL581"/>
    <mergeCell ref="A580:C580"/>
    <mergeCell ref="M580:P580"/>
    <mergeCell ref="Q580:R580"/>
    <mergeCell ref="T580:V580"/>
    <mergeCell ref="Y580:AD580"/>
    <mergeCell ref="AF580:AL580"/>
    <mergeCell ref="A579:C579"/>
    <mergeCell ref="M579:P579"/>
    <mergeCell ref="Q579:R579"/>
    <mergeCell ref="T579:V579"/>
    <mergeCell ref="Y579:AD579"/>
    <mergeCell ref="AF579:AL579"/>
    <mergeCell ref="A578:C578"/>
    <mergeCell ref="M578:P578"/>
    <mergeCell ref="Q578:R578"/>
    <mergeCell ref="T578:V578"/>
    <mergeCell ref="Y578:AD578"/>
    <mergeCell ref="AF578:AL578"/>
    <mergeCell ref="A589:C589"/>
    <mergeCell ref="M589:P589"/>
    <mergeCell ref="Q589:R589"/>
    <mergeCell ref="T589:V589"/>
    <mergeCell ref="Y589:AD589"/>
    <mergeCell ref="AF589:AL589"/>
    <mergeCell ref="A588:C588"/>
    <mergeCell ref="M588:P588"/>
    <mergeCell ref="Q588:R588"/>
    <mergeCell ref="T588:V588"/>
    <mergeCell ref="Y588:AD588"/>
    <mergeCell ref="AF588:AL588"/>
    <mergeCell ref="A587:C587"/>
    <mergeCell ref="M587:P587"/>
    <mergeCell ref="Q587:R587"/>
    <mergeCell ref="T587:V587"/>
    <mergeCell ref="Y587:AD587"/>
    <mergeCell ref="AF587:AL587"/>
    <mergeCell ref="A586:C586"/>
    <mergeCell ref="M586:P586"/>
    <mergeCell ref="Q586:R586"/>
    <mergeCell ref="T586:V586"/>
    <mergeCell ref="Y586:AD586"/>
    <mergeCell ref="AF586:AL586"/>
    <mergeCell ref="A585:C585"/>
    <mergeCell ref="M585:P585"/>
    <mergeCell ref="Q585:R585"/>
    <mergeCell ref="T585:V585"/>
    <mergeCell ref="Y585:AD585"/>
    <mergeCell ref="AF585:AL585"/>
    <mergeCell ref="A584:C584"/>
    <mergeCell ref="M584:P584"/>
    <mergeCell ref="Q584:R584"/>
    <mergeCell ref="T584:V584"/>
    <mergeCell ref="Y584:AD584"/>
    <mergeCell ref="AF584:AL584"/>
    <mergeCell ref="A595:C595"/>
    <mergeCell ref="J595:P595"/>
    <mergeCell ref="Q595:R595"/>
    <mergeCell ref="T595:V595"/>
    <mergeCell ref="Y595:AD595"/>
    <mergeCell ref="AF595:AL595"/>
    <mergeCell ref="A594:C594"/>
    <mergeCell ref="I594:P594"/>
    <mergeCell ref="Q594:R594"/>
    <mergeCell ref="T594:V594"/>
    <mergeCell ref="Y594:AD594"/>
    <mergeCell ref="AF594:AL594"/>
    <mergeCell ref="A593:C593"/>
    <mergeCell ref="M593:P593"/>
    <mergeCell ref="Q593:R593"/>
    <mergeCell ref="T593:V593"/>
    <mergeCell ref="Y593:AD593"/>
    <mergeCell ref="AF593:AL593"/>
    <mergeCell ref="A592:C592"/>
    <mergeCell ref="L592:P592"/>
    <mergeCell ref="Q592:R592"/>
    <mergeCell ref="T592:V592"/>
    <mergeCell ref="Y592:AD592"/>
    <mergeCell ref="AF592:AL592"/>
    <mergeCell ref="A591:C591"/>
    <mergeCell ref="M591:P591"/>
    <mergeCell ref="Q591:R591"/>
    <mergeCell ref="T591:V591"/>
    <mergeCell ref="Y591:AD591"/>
    <mergeCell ref="AF591:AL591"/>
    <mergeCell ref="A590:C590"/>
    <mergeCell ref="M590:P590"/>
    <mergeCell ref="Q590:R590"/>
    <mergeCell ref="T590:V590"/>
    <mergeCell ref="Y590:AD590"/>
    <mergeCell ref="AF590:AL590"/>
    <mergeCell ref="A601:C601"/>
    <mergeCell ref="M601:P601"/>
    <mergeCell ref="Q601:R601"/>
    <mergeCell ref="T601:V601"/>
    <mergeCell ref="Y601:AD601"/>
    <mergeCell ref="AF601:AL601"/>
    <mergeCell ref="A600:C600"/>
    <mergeCell ref="M600:P600"/>
    <mergeCell ref="Q600:R600"/>
    <mergeCell ref="T600:V600"/>
    <mergeCell ref="Y600:AD600"/>
    <mergeCell ref="AF600:AL600"/>
    <mergeCell ref="A599:C599"/>
    <mergeCell ref="M599:P599"/>
    <mergeCell ref="Q599:R599"/>
    <mergeCell ref="T599:V599"/>
    <mergeCell ref="Y599:AD599"/>
    <mergeCell ref="AF599:AL599"/>
    <mergeCell ref="A598:C598"/>
    <mergeCell ref="M598:P598"/>
    <mergeCell ref="Q598:R598"/>
    <mergeCell ref="T598:V598"/>
    <mergeCell ref="Y598:AD598"/>
    <mergeCell ref="AF598:AL598"/>
    <mergeCell ref="A597:C597"/>
    <mergeCell ref="L597:P597"/>
    <mergeCell ref="Q597:R597"/>
    <mergeCell ref="T597:V597"/>
    <mergeCell ref="Y597:AD597"/>
    <mergeCell ref="AF597:AL597"/>
    <mergeCell ref="A596:C596"/>
    <mergeCell ref="K596:P596"/>
    <mergeCell ref="Q596:R596"/>
    <mergeCell ref="T596:V596"/>
    <mergeCell ref="Y596:AD596"/>
    <mergeCell ref="AF596:AL596"/>
    <mergeCell ref="A607:C607"/>
    <mergeCell ref="I607:P607"/>
    <mergeCell ref="Q607:R607"/>
    <mergeCell ref="T607:V607"/>
    <mergeCell ref="Y607:AD607"/>
    <mergeCell ref="AF607:AL607"/>
    <mergeCell ref="A606:C606"/>
    <mergeCell ref="H606:P606"/>
    <mergeCell ref="Q606:R606"/>
    <mergeCell ref="T606:V606"/>
    <mergeCell ref="Y606:AD606"/>
    <mergeCell ref="AF606:AL606"/>
    <mergeCell ref="A605:C605"/>
    <mergeCell ref="M605:P605"/>
    <mergeCell ref="Q605:R605"/>
    <mergeCell ref="T605:V605"/>
    <mergeCell ref="Y605:AD605"/>
    <mergeCell ref="AF605:AL605"/>
    <mergeCell ref="A604:C604"/>
    <mergeCell ref="M604:P604"/>
    <mergeCell ref="Q604:R604"/>
    <mergeCell ref="T604:V604"/>
    <mergeCell ref="Y604:AD604"/>
    <mergeCell ref="AF604:AL604"/>
    <mergeCell ref="A603:C603"/>
    <mergeCell ref="M603:P603"/>
    <mergeCell ref="Q603:R603"/>
    <mergeCell ref="T603:V603"/>
    <mergeCell ref="Y603:AD603"/>
    <mergeCell ref="AF603:AL603"/>
    <mergeCell ref="A602:C602"/>
    <mergeCell ref="M602:P602"/>
    <mergeCell ref="Q602:R602"/>
    <mergeCell ref="T602:V602"/>
    <mergeCell ref="Y602:AD602"/>
    <mergeCell ref="AF602:AL602"/>
    <mergeCell ref="A613:C613"/>
    <mergeCell ref="M613:P613"/>
    <mergeCell ref="Q613:R613"/>
    <mergeCell ref="T613:V613"/>
    <mergeCell ref="Y613:AD613"/>
    <mergeCell ref="AF613:AL613"/>
    <mergeCell ref="A612:C612"/>
    <mergeCell ref="M612:P612"/>
    <mergeCell ref="Q612:R612"/>
    <mergeCell ref="T612:V612"/>
    <mergeCell ref="Y612:AD612"/>
    <mergeCell ref="AF612:AL612"/>
    <mergeCell ref="A611:C611"/>
    <mergeCell ref="M611:P611"/>
    <mergeCell ref="Q611:R611"/>
    <mergeCell ref="T611:V611"/>
    <mergeCell ref="Y611:AD611"/>
    <mergeCell ref="AF611:AL611"/>
    <mergeCell ref="A610:C610"/>
    <mergeCell ref="L610:P610"/>
    <mergeCell ref="Q610:R610"/>
    <mergeCell ref="T610:V610"/>
    <mergeCell ref="Y610:AD610"/>
    <mergeCell ref="AF610:AL610"/>
    <mergeCell ref="A609:C609"/>
    <mergeCell ref="K609:P609"/>
    <mergeCell ref="Q609:R609"/>
    <mergeCell ref="T609:V609"/>
    <mergeCell ref="Y609:AD609"/>
    <mergeCell ref="AF609:AL609"/>
    <mergeCell ref="A608:C608"/>
    <mergeCell ref="J608:P608"/>
    <mergeCell ref="Q608:R608"/>
    <mergeCell ref="T608:V608"/>
    <mergeCell ref="Y608:AD608"/>
    <mergeCell ref="AF608:AL608"/>
    <mergeCell ref="A619:C619"/>
    <mergeCell ref="M619:P619"/>
    <mergeCell ref="Q619:R619"/>
    <mergeCell ref="T619:V619"/>
    <mergeCell ref="Y619:AD619"/>
    <mergeCell ref="AF619:AL619"/>
    <mergeCell ref="A618:C618"/>
    <mergeCell ref="M618:P618"/>
    <mergeCell ref="Q618:R618"/>
    <mergeCell ref="T618:V618"/>
    <mergeCell ref="Y618:AD618"/>
    <mergeCell ref="AF618:AL618"/>
    <mergeCell ref="A617:C617"/>
    <mergeCell ref="M617:P617"/>
    <mergeCell ref="Q617:R617"/>
    <mergeCell ref="T617:V617"/>
    <mergeCell ref="Y617:AD617"/>
    <mergeCell ref="AF617:AL617"/>
    <mergeCell ref="A616:C616"/>
    <mergeCell ref="M616:P616"/>
    <mergeCell ref="Q616:R616"/>
    <mergeCell ref="T616:V616"/>
    <mergeCell ref="Y616:AD616"/>
    <mergeCell ref="AF616:AL616"/>
    <mergeCell ref="A615:C615"/>
    <mergeCell ref="M615:P615"/>
    <mergeCell ref="Q615:R615"/>
    <mergeCell ref="T615:V615"/>
    <mergeCell ref="Y615:AD615"/>
    <mergeCell ref="AF615:AL615"/>
    <mergeCell ref="A614:C614"/>
    <mergeCell ref="M614:P614"/>
    <mergeCell ref="Q614:R614"/>
    <mergeCell ref="T614:V614"/>
    <mergeCell ref="Y614:AD614"/>
    <mergeCell ref="AF614:AL614"/>
    <mergeCell ref="A625:C625"/>
    <mergeCell ref="L625:P625"/>
    <mergeCell ref="Q625:R625"/>
    <mergeCell ref="T625:V625"/>
    <mergeCell ref="Y625:AD625"/>
    <mergeCell ref="AF625:AL625"/>
    <mergeCell ref="A624:C624"/>
    <mergeCell ref="K624:P624"/>
    <mergeCell ref="Q624:R624"/>
    <mergeCell ref="T624:V624"/>
    <mergeCell ref="Y624:AD624"/>
    <mergeCell ref="AF624:AL624"/>
    <mergeCell ref="A623:C623"/>
    <mergeCell ref="J623:P623"/>
    <mergeCell ref="Q623:R623"/>
    <mergeCell ref="T623:V623"/>
    <mergeCell ref="Y623:AD623"/>
    <mergeCell ref="AF623:AL623"/>
    <mergeCell ref="A622:C622"/>
    <mergeCell ref="M622:P622"/>
    <mergeCell ref="Q622:R622"/>
    <mergeCell ref="T622:V622"/>
    <mergeCell ref="Y622:AD622"/>
    <mergeCell ref="AF622:AL622"/>
    <mergeCell ref="A621:C621"/>
    <mergeCell ref="L621:P621"/>
    <mergeCell ref="Q621:R621"/>
    <mergeCell ref="T621:V621"/>
    <mergeCell ref="Y621:AD621"/>
    <mergeCell ref="AF621:AL621"/>
    <mergeCell ref="A620:C620"/>
    <mergeCell ref="M620:P620"/>
    <mergeCell ref="Q620:R620"/>
    <mergeCell ref="T620:V620"/>
    <mergeCell ref="Y620:AD620"/>
    <mergeCell ref="AF620:AL620"/>
    <mergeCell ref="A631:C631"/>
    <mergeCell ref="M631:P631"/>
    <mergeCell ref="Q631:R631"/>
    <mergeCell ref="T631:V631"/>
    <mergeCell ref="Y631:AD631"/>
    <mergeCell ref="AF631:AL631"/>
    <mergeCell ref="A630:C630"/>
    <mergeCell ref="L630:P630"/>
    <mergeCell ref="Q630:R630"/>
    <mergeCell ref="T630:V630"/>
    <mergeCell ref="Y630:AD630"/>
    <mergeCell ref="AF630:AL630"/>
    <mergeCell ref="A629:C629"/>
    <mergeCell ref="K629:P629"/>
    <mergeCell ref="Q629:R629"/>
    <mergeCell ref="T629:V629"/>
    <mergeCell ref="Y629:AD629"/>
    <mergeCell ref="AF629:AL629"/>
    <mergeCell ref="A628:C628"/>
    <mergeCell ref="J628:P628"/>
    <mergeCell ref="Q628:R628"/>
    <mergeCell ref="T628:V628"/>
    <mergeCell ref="Y628:AD628"/>
    <mergeCell ref="AF628:AL628"/>
    <mergeCell ref="A627:C627"/>
    <mergeCell ref="M627:P627"/>
    <mergeCell ref="Q627:R627"/>
    <mergeCell ref="T627:V627"/>
    <mergeCell ref="Y627:AD627"/>
    <mergeCell ref="AF627:AL627"/>
    <mergeCell ref="A626:C626"/>
    <mergeCell ref="M626:P626"/>
    <mergeCell ref="Q626:R626"/>
    <mergeCell ref="T626:V626"/>
    <mergeCell ref="Y626:AD626"/>
    <mergeCell ref="AF626:AL626"/>
    <mergeCell ref="A637:C637"/>
    <mergeCell ref="L637:P637"/>
    <mergeCell ref="Q637:R637"/>
    <mergeCell ref="T637:V637"/>
    <mergeCell ref="Y637:AD637"/>
    <mergeCell ref="AF637:AL637"/>
    <mergeCell ref="A636:C636"/>
    <mergeCell ref="M636:P636"/>
    <mergeCell ref="Q636:R636"/>
    <mergeCell ref="T636:V636"/>
    <mergeCell ref="Y636:AD636"/>
    <mergeCell ref="AF636:AL636"/>
    <mergeCell ref="A635:C635"/>
    <mergeCell ref="M635:P635"/>
    <mergeCell ref="Q635:R635"/>
    <mergeCell ref="T635:V635"/>
    <mergeCell ref="Y635:AD635"/>
    <mergeCell ref="AF635:AL635"/>
    <mergeCell ref="A634:C634"/>
    <mergeCell ref="L634:P634"/>
    <mergeCell ref="Q634:R634"/>
    <mergeCell ref="T634:V634"/>
    <mergeCell ref="Y634:AD634"/>
    <mergeCell ref="AF634:AL634"/>
    <mergeCell ref="A633:C633"/>
    <mergeCell ref="K633:P633"/>
    <mergeCell ref="Q633:R633"/>
    <mergeCell ref="T633:V633"/>
    <mergeCell ref="Y633:AD633"/>
    <mergeCell ref="AF633:AL633"/>
    <mergeCell ref="A632:C632"/>
    <mergeCell ref="J632:P632"/>
    <mergeCell ref="Q632:R632"/>
    <mergeCell ref="T632:V632"/>
    <mergeCell ref="Y632:AD632"/>
    <mergeCell ref="AF632:AL632"/>
    <mergeCell ref="A643:C643"/>
    <mergeCell ref="L643:P643"/>
    <mergeCell ref="Q643:R643"/>
    <mergeCell ref="T643:V643"/>
    <mergeCell ref="Y643:AD643"/>
    <mergeCell ref="AF643:AL643"/>
    <mergeCell ref="A642:C642"/>
    <mergeCell ref="K642:P642"/>
    <mergeCell ref="Q642:R642"/>
    <mergeCell ref="T642:V642"/>
    <mergeCell ref="Y642:AD642"/>
    <mergeCell ref="AF642:AL642"/>
    <mergeCell ref="A641:C641"/>
    <mergeCell ref="J641:P641"/>
    <mergeCell ref="Q641:R641"/>
    <mergeCell ref="T641:V641"/>
    <mergeCell ref="Y641:AD641"/>
    <mergeCell ref="AF641:AL641"/>
    <mergeCell ref="A640:C640"/>
    <mergeCell ref="M640:P640"/>
    <mergeCell ref="Q640:R640"/>
    <mergeCell ref="T640:V640"/>
    <mergeCell ref="Y640:AD640"/>
    <mergeCell ref="AF640:AL640"/>
    <mergeCell ref="A639:C639"/>
    <mergeCell ref="M639:P639"/>
    <mergeCell ref="Q639:R639"/>
    <mergeCell ref="T639:V639"/>
    <mergeCell ref="Y639:AD639"/>
    <mergeCell ref="AF639:AL639"/>
    <mergeCell ref="A638:C638"/>
    <mergeCell ref="M638:P638"/>
    <mergeCell ref="Q638:R638"/>
    <mergeCell ref="T638:V638"/>
    <mergeCell ref="Y638:AD638"/>
    <mergeCell ref="AF638:AL638"/>
    <mergeCell ref="A649:C649"/>
    <mergeCell ref="M649:P649"/>
    <mergeCell ref="Q649:R649"/>
    <mergeCell ref="T649:V649"/>
    <mergeCell ref="Y649:AD649"/>
    <mergeCell ref="AF649:AL649"/>
    <mergeCell ref="A648:C648"/>
    <mergeCell ref="M648:P648"/>
    <mergeCell ref="Q648:R648"/>
    <mergeCell ref="T648:V648"/>
    <mergeCell ref="Y648:AD648"/>
    <mergeCell ref="AF648:AL648"/>
    <mergeCell ref="A647:C647"/>
    <mergeCell ref="M647:P647"/>
    <mergeCell ref="Q647:R647"/>
    <mergeCell ref="T647:V647"/>
    <mergeCell ref="Y647:AD647"/>
    <mergeCell ref="AF647:AL647"/>
    <mergeCell ref="A646:C646"/>
    <mergeCell ref="M646:P646"/>
    <mergeCell ref="Q646:R646"/>
    <mergeCell ref="T646:V646"/>
    <mergeCell ref="Y646:AD646"/>
    <mergeCell ref="AF646:AL646"/>
    <mergeCell ref="A645:C645"/>
    <mergeCell ref="M645:P645"/>
    <mergeCell ref="Q645:R645"/>
    <mergeCell ref="T645:V645"/>
    <mergeCell ref="Y645:AD645"/>
    <mergeCell ref="AF645:AL645"/>
    <mergeCell ref="A644:C644"/>
    <mergeCell ref="M644:P644"/>
    <mergeCell ref="Q644:R644"/>
    <mergeCell ref="T644:V644"/>
    <mergeCell ref="Y644:AD644"/>
    <mergeCell ref="AF644:AL644"/>
    <mergeCell ref="A655:C655"/>
    <mergeCell ref="M655:P655"/>
    <mergeCell ref="Q655:R655"/>
    <mergeCell ref="T655:V655"/>
    <mergeCell ref="Y655:AD655"/>
    <mergeCell ref="AF655:AL655"/>
    <mergeCell ref="A654:C654"/>
    <mergeCell ref="L654:P654"/>
    <mergeCell ref="Q654:R654"/>
    <mergeCell ref="T654:V654"/>
    <mergeCell ref="Y654:AD654"/>
    <mergeCell ref="AF654:AL654"/>
    <mergeCell ref="A653:C653"/>
    <mergeCell ref="J653:P653"/>
    <mergeCell ref="Q653:R653"/>
    <mergeCell ref="T653:V653"/>
    <mergeCell ref="Y653:AD653"/>
    <mergeCell ref="AF653:AL653"/>
    <mergeCell ref="A652:C652"/>
    <mergeCell ref="M652:P652"/>
    <mergeCell ref="Q652:R652"/>
    <mergeCell ref="T652:V652"/>
    <mergeCell ref="Y652:AD652"/>
    <mergeCell ref="AF652:AL652"/>
    <mergeCell ref="A651:C651"/>
    <mergeCell ref="M651:P651"/>
    <mergeCell ref="Q651:R651"/>
    <mergeCell ref="T651:V651"/>
    <mergeCell ref="Y651:AD651"/>
    <mergeCell ref="AF651:AL651"/>
    <mergeCell ref="A650:C650"/>
    <mergeCell ref="M650:P650"/>
    <mergeCell ref="Q650:R650"/>
    <mergeCell ref="T650:V650"/>
    <mergeCell ref="Y650:AD650"/>
    <mergeCell ref="AF650:AL650"/>
    <mergeCell ref="A661:C661"/>
    <mergeCell ref="H661:P661"/>
    <mergeCell ref="Q661:R661"/>
    <mergeCell ref="T661:V661"/>
    <mergeCell ref="Y661:AD661"/>
    <mergeCell ref="AF661:AL661"/>
    <mergeCell ref="A660:C660"/>
    <mergeCell ref="M660:P660"/>
    <mergeCell ref="Q660:R660"/>
    <mergeCell ref="T660:V660"/>
    <mergeCell ref="Y660:AD660"/>
    <mergeCell ref="AF660:AL660"/>
    <mergeCell ref="A659:C659"/>
    <mergeCell ref="M659:P659"/>
    <mergeCell ref="Q659:R659"/>
    <mergeCell ref="T659:V659"/>
    <mergeCell ref="Y659:AD659"/>
    <mergeCell ref="AF659:AL659"/>
    <mergeCell ref="A658:C658"/>
    <mergeCell ref="M658:P658"/>
    <mergeCell ref="Q658:R658"/>
    <mergeCell ref="T658:V658"/>
    <mergeCell ref="Y658:AD658"/>
    <mergeCell ref="AF658:AL658"/>
    <mergeCell ref="A657:C657"/>
    <mergeCell ref="M657:P657"/>
    <mergeCell ref="Q657:R657"/>
    <mergeCell ref="T657:V657"/>
    <mergeCell ref="Y657:AD657"/>
    <mergeCell ref="AF657:AL657"/>
    <mergeCell ref="A656:C656"/>
    <mergeCell ref="M656:P656"/>
    <mergeCell ref="Q656:R656"/>
    <mergeCell ref="T656:V656"/>
    <mergeCell ref="Y656:AD656"/>
    <mergeCell ref="AF656:AL656"/>
    <mergeCell ref="A667:C667"/>
    <mergeCell ref="J667:P667"/>
    <mergeCell ref="Q667:R667"/>
    <mergeCell ref="T667:V667"/>
    <mergeCell ref="Y667:AD667"/>
    <mergeCell ref="AF667:AL667"/>
    <mergeCell ref="A666:C666"/>
    <mergeCell ref="M666:P666"/>
    <mergeCell ref="Q666:R666"/>
    <mergeCell ref="T666:V666"/>
    <mergeCell ref="Y666:AD666"/>
    <mergeCell ref="AF666:AL666"/>
    <mergeCell ref="A665:C665"/>
    <mergeCell ref="L665:P665"/>
    <mergeCell ref="Q665:R665"/>
    <mergeCell ref="T665:V665"/>
    <mergeCell ref="Y665:AD665"/>
    <mergeCell ref="AF665:AL665"/>
    <mergeCell ref="A664:C664"/>
    <mergeCell ref="K664:P664"/>
    <mergeCell ref="Q664:R664"/>
    <mergeCell ref="T664:V664"/>
    <mergeCell ref="Y664:AD664"/>
    <mergeCell ref="AF664:AL664"/>
    <mergeCell ref="A663:C663"/>
    <mergeCell ref="J663:P663"/>
    <mergeCell ref="Q663:R663"/>
    <mergeCell ref="T663:V663"/>
    <mergeCell ref="Y663:AD663"/>
    <mergeCell ref="AF663:AL663"/>
    <mergeCell ref="A662:C662"/>
    <mergeCell ref="I662:P662"/>
    <mergeCell ref="Q662:R662"/>
    <mergeCell ref="T662:V662"/>
    <mergeCell ref="Y662:AD662"/>
    <mergeCell ref="AF662:AL662"/>
    <mergeCell ref="A673:C673"/>
    <mergeCell ref="L673:P673"/>
    <mergeCell ref="Q673:R673"/>
    <mergeCell ref="T673:V673"/>
    <mergeCell ref="Y673:AD673"/>
    <mergeCell ref="AF673:AL673"/>
    <mergeCell ref="A672:C672"/>
    <mergeCell ref="K672:P672"/>
    <mergeCell ref="Q672:R672"/>
    <mergeCell ref="T672:V672"/>
    <mergeCell ref="Y672:AD672"/>
    <mergeCell ref="AF672:AL672"/>
    <mergeCell ref="A671:C671"/>
    <mergeCell ref="J671:P671"/>
    <mergeCell ref="Q671:R671"/>
    <mergeCell ref="T671:V671"/>
    <mergeCell ref="Y671:AD671"/>
    <mergeCell ref="AF671:AL671"/>
    <mergeCell ref="A670:C670"/>
    <mergeCell ref="M670:P670"/>
    <mergeCell ref="Q670:R670"/>
    <mergeCell ref="T670:V670"/>
    <mergeCell ref="Y670:AD670"/>
    <mergeCell ref="AF670:AL670"/>
    <mergeCell ref="A669:C669"/>
    <mergeCell ref="L669:P669"/>
    <mergeCell ref="Q669:R669"/>
    <mergeCell ref="T669:V669"/>
    <mergeCell ref="Y669:AD669"/>
    <mergeCell ref="AF669:AL669"/>
    <mergeCell ref="A668:C668"/>
    <mergeCell ref="K668:P668"/>
    <mergeCell ref="Q668:R668"/>
    <mergeCell ref="T668:V668"/>
    <mergeCell ref="Y668:AD668"/>
    <mergeCell ref="AF668:AL668"/>
    <mergeCell ref="A679:C679"/>
    <mergeCell ref="I679:P679"/>
    <mergeCell ref="Q679:R679"/>
    <mergeCell ref="T679:V679"/>
    <mergeCell ref="Y679:AD679"/>
    <mergeCell ref="AF679:AL679"/>
    <mergeCell ref="A678:C678"/>
    <mergeCell ref="M678:P678"/>
    <mergeCell ref="Q678:R678"/>
    <mergeCell ref="T678:V678"/>
    <mergeCell ref="Y678:AD678"/>
    <mergeCell ref="AF678:AL678"/>
    <mergeCell ref="A677:C677"/>
    <mergeCell ref="L677:P677"/>
    <mergeCell ref="Q677:R677"/>
    <mergeCell ref="T677:V677"/>
    <mergeCell ref="Y677:AD677"/>
    <mergeCell ref="AF677:AL677"/>
    <mergeCell ref="A676:C676"/>
    <mergeCell ref="K676:P676"/>
    <mergeCell ref="Q676:R676"/>
    <mergeCell ref="T676:V676"/>
    <mergeCell ref="Y676:AD676"/>
    <mergeCell ref="AF676:AL676"/>
    <mergeCell ref="A675:C675"/>
    <mergeCell ref="J675:P675"/>
    <mergeCell ref="Q675:R675"/>
    <mergeCell ref="T675:V675"/>
    <mergeCell ref="Y675:AD675"/>
    <mergeCell ref="AF675:AL675"/>
    <mergeCell ref="A674:C674"/>
    <mergeCell ref="M674:P674"/>
    <mergeCell ref="Q674:R674"/>
    <mergeCell ref="T674:V674"/>
    <mergeCell ref="Y674:AD674"/>
    <mergeCell ref="AF674:AL674"/>
    <mergeCell ref="A685:C685"/>
    <mergeCell ref="L685:P685"/>
    <mergeCell ref="Q685:R685"/>
    <mergeCell ref="T685:V685"/>
    <mergeCell ref="Y685:AD685"/>
    <mergeCell ref="AF685:AL685"/>
    <mergeCell ref="A684:C684"/>
    <mergeCell ref="M684:P684"/>
    <mergeCell ref="Q684:R684"/>
    <mergeCell ref="T684:V684"/>
    <mergeCell ref="Y684:AD684"/>
    <mergeCell ref="AF684:AL684"/>
    <mergeCell ref="A683:C683"/>
    <mergeCell ref="M683:P683"/>
    <mergeCell ref="Q683:R683"/>
    <mergeCell ref="T683:V683"/>
    <mergeCell ref="Y683:AD683"/>
    <mergeCell ref="AF683:AL683"/>
    <mergeCell ref="A682:C682"/>
    <mergeCell ref="L682:P682"/>
    <mergeCell ref="Q682:R682"/>
    <mergeCell ref="T682:V682"/>
    <mergeCell ref="Y682:AD682"/>
    <mergeCell ref="AF682:AL682"/>
    <mergeCell ref="A681:C681"/>
    <mergeCell ref="K681:P681"/>
    <mergeCell ref="Q681:R681"/>
    <mergeCell ref="T681:V681"/>
    <mergeCell ref="Y681:AD681"/>
    <mergeCell ref="AF681:AL681"/>
    <mergeCell ref="A680:C680"/>
    <mergeCell ref="J680:P680"/>
    <mergeCell ref="Q680:R680"/>
    <mergeCell ref="T680:V680"/>
    <mergeCell ref="Y680:AD680"/>
    <mergeCell ref="AF680:AL680"/>
    <mergeCell ref="A691:C691"/>
    <mergeCell ref="M691:P691"/>
    <mergeCell ref="Q691:R691"/>
    <mergeCell ref="T691:V691"/>
    <mergeCell ref="Y691:AD691"/>
    <mergeCell ref="AF691:AL691"/>
    <mergeCell ref="A690:C690"/>
    <mergeCell ref="M690:P690"/>
    <mergeCell ref="Q690:R690"/>
    <mergeCell ref="T690:V690"/>
    <mergeCell ref="Y690:AD690"/>
    <mergeCell ref="AF690:AL690"/>
    <mergeCell ref="A689:C689"/>
    <mergeCell ref="L689:P689"/>
    <mergeCell ref="Q689:R689"/>
    <mergeCell ref="T689:V689"/>
    <mergeCell ref="Y689:AD689"/>
    <mergeCell ref="AF689:AL689"/>
    <mergeCell ref="A688:C688"/>
    <mergeCell ref="J688:P688"/>
    <mergeCell ref="Q688:R688"/>
    <mergeCell ref="T688:V688"/>
    <mergeCell ref="Y688:AD688"/>
    <mergeCell ref="AF688:AL688"/>
    <mergeCell ref="A687:C687"/>
    <mergeCell ref="I687:P687"/>
    <mergeCell ref="Q687:R687"/>
    <mergeCell ref="T687:V687"/>
    <mergeCell ref="Y687:AD687"/>
    <mergeCell ref="AF687:AL687"/>
    <mergeCell ref="A686:C686"/>
    <mergeCell ref="M686:P686"/>
    <mergeCell ref="Q686:R686"/>
    <mergeCell ref="T686:V686"/>
    <mergeCell ref="Y686:AD686"/>
    <mergeCell ref="AF686:AL686"/>
    <mergeCell ref="A697:C697"/>
    <mergeCell ref="L697:P697"/>
    <mergeCell ref="Q697:R697"/>
    <mergeCell ref="T697:V697"/>
    <mergeCell ref="Y697:AD697"/>
    <mergeCell ref="AF697:AL697"/>
    <mergeCell ref="A696:C696"/>
    <mergeCell ref="K696:P696"/>
    <mergeCell ref="Q696:R696"/>
    <mergeCell ref="T696:V696"/>
    <mergeCell ref="Y696:AD696"/>
    <mergeCell ref="AF696:AL696"/>
    <mergeCell ref="A695:C695"/>
    <mergeCell ref="J695:P695"/>
    <mergeCell ref="Q695:R695"/>
    <mergeCell ref="T695:V695"/>
    <mergeCell ref="Y695:AD695"/>
    <mergeCell ref="AF695:AL695"/>
    <mergeCell ref="A694:C694"/>
    <mergeCell ref="I694:P694"/>
    <mergeCell ref="Q694:R694"/>
    <mergeCell ref="T694:V694"/>
    <mergeCell ref="Y694:AD694"/>
    <mergeCell ref="AF694:AL694"/>
    <mergeCell ref="A693:C693"/>
    <mergeCell ref="M693:P693"/>
    <mergeCell ref="Q693:R693"/>
    <mergeCell ref="T693:V693"/>
    <mergeCell ref="Y693:AD693"/>
    <mergeCell ref="AF693:AL693"/>
    <mergeCell ref="A692:C692"/>
    <mergeCell ref="L692:P692"/>
    <mergeCell ref="Q692:R692"/>
    <mergeCell ref="T692:V692"/>
    <mergeCell ref="Y692:AD692"/>
    <mergeCell ref="AF692:AL692"/>
    <mergeCell ref="A703:C703"/>
    <mergeCell ref="I703:P703"/>
    <mergeCell ref="Q703:R703"/>
    <mergeCell ref="T703:V703"/>
    <mergeCell ref="Y703:AD703"/>
    <mergeCell ref="AF703:AL703"/>
    <mergeCell ref="A702:C702"/>
    <mergeCell ref="M702:P702"/>
    <mergeCell ref="Q702:R702"/>
    <mergeCell ref="T702:V702"/>
    <mergeCell ref="Y702:AD702"/>
    <mergeCell ref="AF702:AL702"/>
    <mergeCell ref="A701:C701"/>
    <mergeCell ref="L701:P701"/>
    <mergeCell ref="Q701:R701"/>
    <mergeCell ref="T701:V701"/>
    <mergeCell ref="Y701:AD701"/>
    <mergeCell ref="AF701:AL701"/>
    <mergeCell ref="A700:C700"/>
    <mergeCell ref="K700:P700"/>
    <mergeCell ref="Q700:R700"/>
    <mergeCell ref="T700:V700"/>
    <mergeCell ref="Y700:AD700"/>
    <mergeCell ref="AF700:AL700"/>
    <mergeCell ref="A699:C699"/>
    <mergeCell ref="J699:P699"/>
    <mergeCell ref="Q699:R699"/>
    <mergeCell ref="T699:V699"/>
    <mergeCell ref="Y699:AD699"/>
    <mergeCell ref="AF699:AL699"/>
    <mergeCell ref="A698:C698"/>
    <mergeCell ref="M698:P698"/>
    <mergeCell ref="Q698:R698"/>
    <mergeCell ref="T698:V698"/>
    <mergeCell ref="Y698:AD698"/>
    <mergeCell ref="AF698:AL698"/>
    <mergeCell ref="A709:C709"/>
    <mergeCell ref="L709:P709"/>
    <mergeCell ref="Q709:R709"/>
    <mergeCell ref="T709:V709"/>
    <mergeCell ref="Y709:AD709"/>
    <mergeCell ref="AF709:AL709"/>
    <mergeCell ref="A708:C708"/>
    <mergeCell ref="M708:P708"/>
    <mergeCell ref="Q708:R708"/>
    <mergeCell ref="T708:V708"/>
    <mergeCell ref="Y708:AD708"/>
    <mergeCell ref="AF708:AL708"/>
    <mergeCell ref="A707:C707"/>
    <mergeCell ref="M707:P707"/>
    <mergeCell ref="Q707:R707"/>
    <mergeCell ref="T707:V707"/>
    <mergeCell ref="Y707:AD707"/>
    <mergeCell ref="AF707:AL707"/>
    <mergeCell ref="A706:C706"/>
    <mergeCell ref="L706:P706"/>
    <mergeCell ref="Q706:R706"/>
    <mergeCell ref="T706:V706"/>
    <mergeCell ref="Y706:AD706"/>
    <mergeCell ref="AF706:AL706"/>
    <mergeCell ref="A705:C705"/>
    <mergeCell ref="K705:P705"/>
    <mergeCell ref="Q705:R705"/>
    <mergeCell ref="T705:V705"/>
    <mergeCell ref="Y705:AD705"/>
    <mergeCell ref="AF705:AL705"/>
    <mergeCell ref="A704:C704"/>
    <mergeCell ref="J704:P704"/>
    <mergeCell ref="Q704:R704"/>
    <mergeCell ref="T704:V704"/>
    <mergeCell ref="Y704:AD704"/>
    <mergeCell ref="AF704:AL704"/>
    <mergeCell ref="A715:C715"/>
    <mergeCell ref="M715:P715"/>
    <mergeCell ref="Q715:R715"/>
    <mergeCell ref="T715:V715"/>
    <mergeCell ref="Y715:AD715"/>
    <mergeCell ref="AF715:AL715"/>
    <mergeCell ref="A714:C714"/>
    <mergeCell ref="M714:P714"/>
    <mergeCell ref="Q714:R714"/>
    <mergeCell ref="T714:V714"/>
    <mergeCell ref="Y714:AD714"/>
    <mergeCell ref="AF714:AL714"/>
    <mergeCell ref="A713:C713"/>
    <mergeCell ref="L713:P713"/>
    <mergeCell ref="Q713:R713"/>
    <mergeCell ref="T713:V713"/>
    <mergeCell ref="Y713:AD713"/>
    <mergeCell ref="AF713:AL713"/>
    <mergeCell ref="A712:C712"/>
    <mergeCell ref="K712:P712"/>
    <mergeCell ref="Q712:R712"/>
    <mergeCell ref="T712:V712"/>
    <mergeCell ref="Y712:AD712"/>
    <mergeCell ref="AF712:AL712"/>
    <mergeCell ref="A711:C711"/>
    <mergeCell ref="J711:P711"/>
    <mergeCell ref="Q711:R711"/>
    <mergeCell ref="T711:V711"/>
    <mergeCell ref="Y711:AD711"/>
    <mergeCell ref="AF711:AL711"/>
    <mergeCell ref="A710:C710"/>
    <mergeCell ref="M710:P710"/>
    <mergeCell ref="Q710:R710"/>
    <mergeCell ref="T710:V710"/>
    <mergeCell ref="Y710:AD710"/>
    <mergeCell ref="AF710:AL710"/>
    <mergeCell ref="A721:C721"/>
    <mergeCell ref="I721:P721"/>
    <mergeCell ref="Q721:R721"/>
    <mergeCell ref="T721:V721"/>
    <mergeCell ref="Y721:AD721"/>
    <mergeCell ref="AF721:AL721"/>
    <mergeCell ref="A720:C720"/>
    <mergeCell ref="H720:P720"/>
    <mergeCell ref="Q720:R720"/>
    <mergeCell ref="T720:V720"/>
    <mergeCell ref="Y720:AD720"/>
    <mergeCell ref="AF720:AL720"/>
    <mergeCell ref="A719:C719"/>
    <mergeCell ref="M719:P719"/>
    <mergeCell ref="Q719:R719"/>
    <mergeCell ref="T719:V719"/>
    <mergeCell ref="Y719:AD719"/>
    <mergeCell ref="AF719:AL719"/>
    <mergeCell ref="A718:C718"/>
    <mergeCell ref="M718:P718"/>
    <mergeCell ref="Q718:R718"/>
    <mergeCell ref="T718:V718"/>
    <mergeCell ref="Y718:AD718"/>
    <mergeCell ref="AF718:AL718"/>
    <mergeCell ref="A717:C717"/>
    <mergeCell ref="M717:P717"/>
    <mergeCell ref="Q717:R717"/>
    <mergeCell ref="T717:V717"/>
    <mergeCell ref="Y717:AD717"/>
    <mergeCell ref="AF717:AL717"/>
    <mergeCell ref="A716:C716"/>
    <mergeCell ref="L716:P716"/>
    <mergeCell ref="Q716:R716"/>
    <mergeCell ref="T716:V716"/>
    <mergeCell ref="Y716:AD716"/>
    <mergeCell ref="AF716:AL716"/>
    <mergeCell ref="A727:C727"/>
    <mergeCell ref="L727:P727"/>
    <mergeCell ref="Q727:R727"/>
    <mergeCell ref="T727:V727"/>
    <mergeCell ref="Y727:AD727"/>
    <mergeCell ref="AF727:AL727"/>
    <mergeCell ref="A726:C726"/>
    <mergeCell ref="K726:P726"/>
    <mergeCell ref="Q726:R726"/>
    <mergeCell ref="T726:V726"/>
    <mergeCell ref="Y726:AD726"/>
    <mergeCell ref="AF726:AL726"/>
    <mergeCell ref="A725:C725"/>
    <mergeCell ref="J725:P725"/>
    <mergeCell ref="Q725:R725"/>
    <mergeCell ref="T725:V725"/>
    <mergeCell ref="Y725:AD725"/>
    <mergeCell ref="AF725:AL725"/>
    <mergeCell ref="A724:C724"/>
    <mergeCell ref="I724:P724"/>
    <mergeCell ref="Q724:R724"/>
    <mergeCell ref="T724:V724"/>
    <mergeCell ref="Y724:AD724"/>
    <mergeCell ref="AF724:AL724"/>
    <mergeCell ref="A723:C723"/>
    <mergeCell ref="H723:P723"/>
    <mergeCell ref="Q723:R723"/>
    <mergeCell ref="T723:V723"/>
    <mergeCell ref="Y723:AD723"/>
    <mergeCell ref="AF723:AL723"/>
    <mergeCell ref="A722:C722"/>
    <mergeCell ref="M722:P722"/>
    <mergeCell ref="Q722:R722"/>
    <mergeCell ref="T722:V722"/>
    <mergeCell ref="Y722:AD722"/>
    <mergeCell ref="AF722:AL722"/>
    <mergeCell ref="A733:C733"/>
    <mergeCell ref="L733:P733"/>
    <mergeCell ref="Q733:R733"/>
    <mergeCell ref="T733:V733"/>
    <mergeCell ref="Y733:AD733"/>
    <mergeCell ref="AF733:AL733"/>
    <mergeCell ref="A732:C732"/>
    <mergeCell ref="K732:P732"/>
    <mergeCell ref="Q732:R732"/>
    <mergeCell ref="T732:V732"/>
    <mergeCell ref="Y732:AD732"/>
    <mergeCell ref="AF732:AL732"/>
    <mergeCell ref="A731:C731"/>
    <mergeCell ref="J731:P731"/>
    <mergeCell ref="Q731:R731"/>
    <mergeCell ref="T731:V731"/>
    <mergeCell ref="Y731:AD731"/>
    <mergeCell ref="AF731:AL731"/>
    <mergeCell ref="A730:C730"/>
    <mergeCell ref="M730:P730"/>
    <mergeCell ref="Q730:R730"/>
    <mergeCell ref="T730:V730"/>
    <mergeCell ref="Y730:AD730"/>
    <mergeCell ref="AF730:AL730"/>
    <mergeCell ref="A729:C729"/>
    <mergeCell ref="L729:P729"/>
    <mergeCell ref="Q729:R729"/>
    <mergeCell ref="T729:V729"/>
    <mergeCell ref="Y729:AD729"/>
    <mergeCell ref="AF729:AL729"/>
    <mergeCell ref="A728:C728"/>
    <mergeCell ref="M728:P728"/>
    <mergeCell ref="Q728:R728"/>
    <mergeCell ref="T728:V728"/>
    <mergeCell ref="Y728:AD728"/>
    <mergeCell ref="AF728:AL728"/>
    <mergeCell ref="A739:C739"/>
    <mergeCell ref="L739:P739"/>
    <mergeCell ref="Q739:R739"/>
    <mergeCell ref="T739:V739"/>
    <mergeCell ref="Y739:AD739"/>
    <mergeCell ref="AF739:AL739"/>
    <mergeCell ref="A738:C738"/>
    <mergeCell ref="K738:P738"/>
    <mergeCell ref="Q738:R738"/>
    <mergeCell ref="T738:V738"/>
    <mergeCell ref="Y738:AD738"/>
    <mergeCell ref="AF738:AL738"/>
    <mergeCell ref="A737:C737"/>
    <mergeCell ref="J737:P737"/>
    <mergeCell ref="Q737:R737"/>
    <mergeCell ref="T737:V737"/>
    <mergeCell ref="Y737:AD737"/>
    <mergeCell ref="AF737:AL737"/>
    <mergeCell ref="A736:C736"/>
    <mergeCell ref="M736:P736"/>
    <mergeCell ref="Q736:R736"/>
    <mergeCell ref="T736:V736"/>
    <mergeCell ref="Y736:AD736"/>
    <mergeCell ref="AF736:AL736"/>
    <mergeCell ref="A735:C735"/>
    <mergeCell ref="L735:P735"/>
    <mergeCell ref="Q735:R735"/>
    <mergeCell ref="T735:V735"/>
    <mergeCell ref="Y735:AD735"/>
    <mergeCell ref="AF735:AL735"/>
    <mergeCell ref="A734:C734"/>
    <mergeCell ref="M734:P734"/>
    <mergeCell ref="Q734:R734"/>
    <mergeCell ref="T734:V734"/>
    <mergeCell ref="Y734:AD734"/>
    <mergeCell ref="AF734:AL734"/>
    <mergeCell ref="A745:C745"/>
    <mergeCell ref="L745:P745"/>
    <mergeCell ref="Q745:R745"/>
    <mergeCell ref="T745:V745"/>
    <mergeCell ref="Y745:AD745"/>
    <mergeCell ref="AF745:AL745"/>
    <mergeCell ref="A744:C744"/>
    <mergeCell ref="M744:P744"/>
    <mergeCell ref="Q744:R744"/>
    <mergeCell ref="T744:V744"/>
    <mergeCell ref="Y744:AD744"/>
    <mergeCell ref="AF744:AL744"/>
    <mergeCell ref="A743:C743"/>
    <mergeCell ref="L743:P743"/>
    <mergeCell ref="Q743:R743"/>
    <mergeCell ref="T743:V743"/>
    <mergeCell ref="Y743:AD743"/>
    <mergeCell ref="AF743:AL743"/>
    <mergeCell ref="A742:C742"/>
    <mergeCell ref="K742:P742"/>
    <mergeCell ref="Q742:R742"/>
    <mergeCell ref="T742:V742"/>
    <mergeCell ref="Y742:AD742"/>
    <mergeCell ref="AF742:AL742"/>
    <mergeCell ref="A741:C741"/>
    <mergeCell ref="I741:P741"/>
    <mergeCell ref="Q741:R741"/>
    <mergeCell ref="T741:V741"/>
    <mergeCell ref="Y741:AD741"/>
    <mergeCell ref="AF741:AL741"/>
    <mergeCell ref="A740:C740"/>
    <mergeCell ref="M740:P740"/>
    <mergeCell ref="Q740:R740"/>
    <mergeCell ref="T740:V740"/>
    <mergeCell ref="Y740:AD740"/>
    <mergeCell ref="AF740:AL740"/>
    <mergeCell ref="A751:C751"/>
    <mergeCell ref="K751:P751"/>
    <mergeCell ref="Q751:R751"/>
    <mergeCell ref="T751:V751"/>
    <mergeCell ref="Y751:AD751"/>
    <mergeCell ref="AF751:AL751"/>
    <mergeCell ref="A750:C750"/>
    <mergeCell ref="J750:P750"/>
    <mergeCell ref="Q750:R750"/>
    <mergeCell ref="T750:V750"/>
    <mergeCell ref="Y750:AD750"/>
    <mergeCell ref="AF750:AL750"/>
    <mergeCell ref="A749:C749"/>
    <mergeCell ref="I749:P749"/>
    <mergeCell ref="Q749:R749"/>
    <mergeCell ref="T749:V749"/>
    <mergeCell ref="Y749:AD749"/>
    <mergeCell ref="AF749:AL749"/>
    <mergeCell ref="A748:C748"/>
    <mergeCell ref="M748:P748"/>
    <mergeCell ref="Q748:R748"/>
    <mergeCell ref="T748:V748"/>
    <mergeCell ref="Y748:AD748"/>
    <mergeCell ref="AF748:AL748"/>
    <mergeCell ref="A747:C747"/>
    <mergeCell ref="L747:P747"/>
    <mergeCell ref="Q747:R747"/>
    <mergeCell ref="T747:V747"/>
    <mergeCell ref="Y747:AD747"/>
    <mergeCell ref="AF747:AL747"/>
    <mergeCell ref="A746:C746"/>
    <mergeCell ref="M746:P746"/>
    <mergeCell ref="Q746:R746"/>
    <mergeCell ref="T746:V746"/>
    <mergeCell ref="Y746:AD746"/>
    <mergeCell ref="AF746:AL746"/>
    <mergeCell ref="A757:C757"/>
    <mergeCell ref="M757:P757"/>
    <mergeCell ref="Q757:R757"/>
    <mergeCell ref="T757:V757"/>
    <mergeCell ref="Y757:AD757"/>
    <mergeCell ref="AF757:AL757"/>
    <mergeCell ref="A756:C756"/>
    <mergeCell ref="L756:P756"/>
    <mergeCell ref="Q756:R756"/>
    <mergeCell ref="T756:V756"/>
    <mergeCell ref="Y756:AD756"/>
    <mergeCell ref="AF756:AL756"/>
    <mergeCell ref="A755:C755"/>
    <mergeCell ref="I755:P755"/>
    <mergeCell ref="Q755:R755"/>
    <mergeCell ref="T755:V755"/>
    <mergeCell ref="Y755:AD755"/>
    <mergeCell ref="AF755:AL755"/>
    <mergeCell ref="A754:C754"/>
    <mergeCell ref="H754:P754"/>
    <mergeCell ref="Q754:R754"/>
    <mergeCell ref="T754:V754"/>
    <mergeCell ref="Y754:AD754"/>
    <mergeCell ref="AF754:AL754"/>
    <mergeCell ref="A753:C753"/>
    <mergeCell ref="M753:P753"/>
    <mergeCell ref="Q753:R753"/>
    <mergeCell ref="T753:V753"/>
    <mergeCell ref="Y753:AD753"/>
    <mergeCell ref="AF753:AL753"/>
    <mergeCell ref="A752:C752"/>
    <mergeCell ref="L752:P752"/>
    <mergeCell ref="Q752:R752"/>
    <mergeCell ref="T752:V752"/>
    <mergeCell ref="Y752:AD752"/>
    <mergeCell ref="AF752:AL752"/>
    <mergeCell ref="A763:C763"/>
    <mergeCell ref="M763:P763"/>
    <mergeCell ref="Q763:R763"/>
    <mergeCell ref="T763:V763"/>
    <mergeCell ref="Y763:AD763"/>
    <mergeCell ref="AF763:AL763"/>
    <mergeCell ref="A762:C762"/>
    <mergeCell ref="L762:P762"/>
    <mergeCell ref="Q762:R762"/>
    <mergeCell ref="T762:V762"/>
    <mergeCell ref="Y762:AD762"/>
    <mergeCell ref="AF762:AL762"/>
    <mergeCell ref="A761:C761"/>
    <mergeCell ref="K761:P761"/>
    <mergeCell ref="Q761:R761"/>
    <mergeCell ref="T761:V761"/>
    <mergeCell ref="Y761:AD761"/>
    <mergeCell ref="AF761:AL761"/>
    <mergeCell ref="A760:C760"/>
    <mergeCell ref="J760:P760"/>
    <mergeCell ref="Q760:R760"/>
    <mergeCell ref="T760:V760"/>
    <mergeCell ref="Y760:AD760"/>
    <mergeCell ref="AF760:AL760"/>
    <mergeCell ref="A759:C759"/>
    <mergeCell ref="I759:P759"/>
    <mergeCell ref="Q759:R759"/>
    <mergeCell ref="T759:V759"/>
    <mergeCell ref="Y759:AD759"/>
    <mergeCell ref="AF759:AL759"/>
    <mergeCell ref="A758:C758"/>
    <mergeCell ref="H758:P758"/>
    <mergeCell ref="Q758:R758"/>
    <mergeCell ref="T758:V758"/>
    <mergeCell ref="Y758:AD758"/>
    <mergeCell ref="AF758:AL758"/>
    <mergeCell ref="A769:C769"/>
    <mergeCell ref="J769:P769"/>
    <mergeCell ref="Q769:R769"/>
    <mergeCell ref="T769:V769"/>
    <mergeCell ref="Y769:AD769"/>
    <mergeCell ref="AF769:AL769"/>
    <mergeCell ref="A768:C768"/>
    <mergeCell ref="I768:P768"/>
    <mergeCell ref="Q768:R768"/>
    <mergeCell ref="T768:V768"/>
    <mergeCell ref="Y768:AD768"/>
    <mergeCell ref="AF768:AL768"/>
    <mergeCell ref="A767:C767"/>
    <mergeCell ref="M767:P767"/>
    <mergeCell ref="Q767:R767"/>
    <mergeCell ref="T767:V767"/>
    <mergeCell ref="Y767:AD767"/>
    <mergeCell ref="AF767:AL767"/>
    <mergeCell ref="A766:C766"/>
    <mergeCell ref="M766:P766"/>
    <mergeCell ref="Q766:R766"/>
    <mergeCell ref="T766:V766"/>
    <mergeCell ref="Y766:AD766"/>
    <mergeCell ref="AF766:AL766"/>
    <mergeCell ref="A765:C765"/>
    <mergeCell ref="M765:P765"/>
    <mergeCell ref="Q765:R765"/>
    <mergeCell ref="T765:V765"/>
    <mergeCell ref="Y765:AD765"/>
    <mergeCell ref="AF765:AL765"/>
    <mergeCell ref="A764:C764"/>
    <mergeCell ref="M764:P764"/>
    <mergeCell ref="Q764:R764"/>
    <mergeCell ref="T764:V764"/>
    <mergeCell ref="Y764:AD764"/>
    <mergeCell ref="AF764:AL764"/>
    <mergeCell ref="A775:C775"/>
    <mergeCell ref="H775:P775"/>
    <mergeCell ref="Q775:R775"/>
    <mergeCell ref="T775:V775"/>
    <mergeCell ref="Y775:AD775"/>
    <mergeCell ref="AF775:AL775"/>
    <mergeCell ref="A774:C774"/>
    <mergeCell ref="M774:P774"/>
    <mergeCell ref="Q774:R774"/>
    <mergeCell ref="T774:V774"/>
    <mergeCell ref="Y774:AD774"/>
    <mergeCell ref="AF774:AL774"/>
    <mergeCell ref="A773:C773"/>
    <mergeCell ref="M773:P773"/>
    <mergeCell ref="Q773:R773"/>
    <mergeCell ref="T773:V773"/>
    <mergeCell ref="Y773:AD773"/>
    <mergeCell ref="AF773:AL773"/>
    <mergeCell ref="A772:C772"/>
    <mergeCell ref="M772:P772"/>
    <mergeCell ref="Q772:R772"/>
    <mergeCell ref="T772:V772"/>
    <mergeCell ref="Y772:AD772"/>
    <mergeCell ref="AF772:AL772"/>
    <mergeCell ref="A771:C771"/>
    <mergeCell ref="L771:P771"/>
    <mergeCell ref="Q771:R771"/>
    <mergeCell ref="T771:V771"/>
    <mergeCell ref="Y771:AD771"/>
    <mergeCell ref="AF771:AL771"/>
    <mergeCell ref="A770:C770"/>
    <mergeCell ref="K770:P770"/>
    <mergeCell ref="Q770:R770"/>
    <mergeCell ref="T770:V770"/>
    <mergeCell ref="Y770:AD770"/>
    <mergeCell ref="AF770:AL770"/>
    <mergeCell ref="A781:C781"/>
    <mergeCell ref="I781:P781"/>
    <mergeCell ref="Q781:R781"/>
    <mergeCell ref="T781:V781"/>
    <mergeCell ref="Y781:AD781"/>
    <mergeCell ref="AF781:AL781"/>
    <mergeCell ref="A780:C780"/>
    <mergeCell ref="H780:P780"/>
    <mergeCell ref="Q780:R780"/>
    <mergeCell ref="T780:V780"/>
    <mergeCell ref="Y780:AD780"/>
    <mergeCell ref="AF780:AL780"/>
    <mergeCell ref="A779:C779"/>
    <mergeCell ref="M779:P779"/>
    <mergeCell ref="Q779:R779"/>
    <mergeCell ref="T779:V779"/>
    <mergeCell ref="Y779:AD779"/>
    <mergeCell ref="AF779:AL779"/>
    <mergeCell ref="A778:C778"/>
    <mergeCell ref="L778:P778"/>
    <mergeCell ref="Q778:R778"/>
    <mergeCell ref="T778:V778"/>
    <mergeCell ref="Y778:AD778"/>
    <mergeCell ref="AF778:AL778"/>
    <mergeCell ref="A777:C777"/>
    <mergeCell ref="I777:P777"/>
    <mergeCell ref="Q777:R777"/>
    <mergeCell ref="T777:V777"/>
    <mergeCell ref="Y777:AD777"/>
    <mergeCell ref="AF777:AL777"/>
    <mergeCell ref="A776:C776"/>
    <mergeCell ref="H776:P776"/>
    <mergeCell ref="Q776:R776"/>
    <mergeCell ref="T776:V776"/>
    <mergeCell ref="Y776:AD776"/>
    <mergeCell ref="AF776:AL776"/>
    <mergeCell ref="A787:C787"/>
    <mergeCell ref="K787:P787"/>
    <mergeCell ref="Q787:R787"/>
    <mergeCell ref="T787:V787"/>
    <mergeCell ref="Y787:AD787"/>
    <mergeCell ref="AF787:AL787"/>
    <mergeCell ref="A786:C786"/>
    <mergeCell ref="J786:P786"/>
    <mergeCell ref="Q786:R786"/>
    <mergeCell ref="T786:V786"/>
    <mergeCell ref="Y786:AD786"/>
    <mergeCell ref="AF786:AL786"/>
    <mergeCell ref="A785:C785"/>
    <mergeCell ref="I785:P785"/>
    <mergeCell ref="Q785:R785"/>
    <mergeCell ref="T785:V785"/>
    <mergeCell ref="Y785:AD785"/>
    <mergeCell ref="AF785:AL785"/>
    <mergeCell ref="A784:C784"/>
    <mergeCell ref="H784:P784"/>
    <mergeCell ref="Q784:R784"/>
    <mergeCell ref="T784:V784"/>
    <mergeCell ref="Y784:AD784"/>
    <mergeCell ref="AF784:AL784"/>
    <mergeCell ref="A783:C783"/>
    <mergeCell ref="M783:P783"/>
    <mergeCell ref="Q783:R783"/>
    <mergeCell ref="T783:V783"/>
    <mergeCell ref="Y783:AD783"/>
    <mergeCell ref="AF783:AL783"/>
    <mergeCell ref="A782:C782"/>
    <mergeCell ref="L782:P782"/>
    <mergeCell ref="Q782:R782"/>
    <mergeCell ref="T782:V782"/>
    <mergeCell ref="Y782:AD782"/>
    <mergeCell ref="AF782:AL782"/>
    <mergeCell ref="A793:C793"/>
    <mergeCell ref="K793:P793"/>
    <mergeCell ref="Q793:R793"/>
    <mergeCell ref="T793:V793"/>
    <mergeCell ref="Y793:AD793"/>
    <mergeCell ref="AF793:AL793"/>
    <mergeCell ref="A792:C792"/>
    <mergeCell ref="J792:P792"/>
    <mergeCell ref="Q792:R792"/>
    <mergeCell ref="T792:V792"/>
    <mergeCell ref="Y792:AD792"/>
    <mergeCell ref="AF792:AL792"/>
    <mergeCell ref="A791:C791"/>
    <mergeCell ref="I791:P791"/>
    <mergeCell ref="Q791:R791"/>
    <mergeCell ref="T791:V791"/>
    <mergeCell ref="Y791:AD791"/>
    <mergeCell ref="AF791:AL791"/>
    <mergeCell ref="A790:C790"/>
    <mergeCell ref="H790:P790"/>
    <mergeCell ref="Q790:R790"/>
    <mergeCell ref="T790:V790"/>
    <mergeCell ref="Y790:AD790"/>
    <mergeCell ref="AF790:AL790"/>
    <mergeCell ref="A789:C789"/>
    <mergeCell ref="M789:P789"/>
    <mergeCell ref="Q789:R789"/>
    <mergeCell ref="T789:V789"/>
    <mergeCell ref="Y789:AD789"/>
    <mergeCell ref="AF789:AL789"/>
    <mergeCell ref="A788:C788"/>
    <mergeCell ref="L788:P788"/>
    <mergeCell ref="Q788:R788"/>
    <mergeCell ref="T788:V788"/>
    <mergeCell ref="Y788:AD788"/>
    <mergeCell ref="AF788:AL788"/>
    <mergeCell ref="A799:C799"/>
    <mergeCell ref="J799:P799"/>
    <mergeCell ref="Q799:R799"/>
    <mergeCell ref="T799:V799"/>
    <mergeCell ref="Y799:AD799"/>
    <mergeCell ref="AF799:AL799"/>
    <mergeCell ref="A798:C798"/>
    <mergeCell ref="I798:P798"/>
    <mergeCell ref="Q798:R798"/>
    <mergeCell ref="T798:V798"/>
    <mergeCell ref="Y798:AD798"/>
    <mergeCell ref="AF798:AL798"/>
    <mergeCell ref="A797:C797"/>
    <mergeCell ref="H797:P797"/>
    <mergeCell ref="Q797:R797"/>
    <mergeCell ref="T797:V797"/>
    <mergeCell ref="Y797:AD797"/>
    <mergeCell ref="AF797:AL797"/>
    <mergeCell ref="A796:C796"/>
    <mergeCell ref="H796:P796"/>
    <mergeCell ref="Q796:R796"/>
    <mergeCell ref="T796:V796"/>
    <mergeCell ref="Y796:AD796"/>
    <mergeCell ref="AF796:AL796"/>
    <mergeCell ref="A795:C795"/>
    <mergeCell ref="M795:P795"/>
    <mergeCell ref="Q795:R795"/>
    <mergeCell ref="T795:V795"/>
    <mergeCell ref="Y795:AD795"/>
    <mergeCell ref="AF795:AL795"/>
    <mergeCell ref="A794:C794"/>
    <mergeCell ref="L794:P794"/>
    <mergeCell ref="Q794:R794"/>
    <mergeCell ref="T794:V794"/>
    <mergeCell ref="Y794:AD794"/>
    <mergeCell ref="AF794:AL794"/>
    <mergeCell ref="A805:C805"/>
    <mergeCell ref="H805:P805"/>
    <mergeCell ref="Q805:R805"/>
    <mergeCell ref="T805:V805"/>
    <mergeCell ref="Y805:AD805"/>
    <mergeCell ref="AF805:AL805"/>
    <mergeCell ref="A804:C804"/>
    <mergeCell ref="M804:P804"/>
    <mergeCell ref="Q804:R804"/>
    <mergeCell ref="T804:V804"/>
    <mergeCell ref="Y804:AD804"/>
    <mergeCell ref="AF804:AL804"/>
    <mergeCell ref="A803:C803"/>
    <mergeCell ref="L803:P803"/>
    <mergeCell ref="Q803:R803"/>
    <mergeCell ref="T803:V803"/>
    <mergeCell ref="Y803:AD803"/>
    <mergeCell ref="AF803:AL803"/>
    <mergeCell ref="A802:C802"/>
    <mergeCell ref="M802:P802"/>
    <mergeCell ref="Q802:R802"/>
    <mergeCell ref="T802:V802"/>
    <mergeCell ref="Y802:AD802"/>
    <mergeCell ref="AF802:AL802"/>
    <mergeCell ref="A801:C801"/>
    <mergeCell ref="L801:P801"/>
    <mergeCell ref="Q801:R801"/>
    <mergeCell ref="T801:V801"/>
    <mergeCell ref="Y801:AD801"/>
    <mergeCell ref="AF801:AL801"/>
    <mergeCell ref="A800:C800"/>
    <mergeCell ref="K800:P800"/>
    <mergeCell ref="Q800:R800"/>
    <mergeCell ref="T800:V800"/>
    <mergeCell ref="Y800:AD800"/>
    <mergeCell ref="AF800:AL800"/>
    <mergeCell ref="A811:C811"/>
    <mergeCell ref="I811:P811"/>
    <mergeCell ref="Q811:R811"/>
    <mergeCell ref="T811:V811"/>
    <mergeCell ref="Y811:AD811"/>
    <mergeCell ref="AF811:AL811"/>
    <mergeCell ref="A810:C810"/>
    <mergeCell ref="M810:P810"/>
    <mergeCell ref="Q810:R810"/>
    <mergeCell ref="T810:V810"/>
    <mergeCell ref="Y810:AD810"/>
    <mergeCell ref="AF810:AL810"/>
    <mergeCell ref="A809:C809"/>
    <mergeCell ref="L809:P809"/>
    <mergeCell ref="Q809:R809"/>
    <mergeCell ref="T809:V809"/>
    <mergeCell ref="Y809:AD809"/>
    <mergeCell ref="AF809:AL809"/>
    <mergeCell ref="A808:C808"/>
    <mergeCell ref="K808:P808"/>
    <mergeCell ref="Q808:R808"/>
    <mergeCell ref="T808:V808"/>
    <mergeCell ref="Y808:AD808"/>
    <mergeCell ref="AF808:AL808"/>
    <mergeCell ref="A807:C807"/>
    <mergeCell ref="J807:P807"/>
    <mergeCell ref="Q807:R807"/>
    <mergeCell ref="T807:V807"/>
    <mergeCell ref="Y807:AD807"/>
    <mergeCell ref="AF807:AL807"/>
    <mergeCell ref="A806:C806"/>
    <mergeCell ref="I806:P806"/>
    <mergeCell ref="Q806:R806"/>
    <mergeCell ref="T806:V806"/>
    <mergeCell ref="Y806:AD806"/>
    <mergeCell ref="AF806:AL806"/>
    <mergeCell ref="A817:C817"/>
    <mergeCell ref="J817:P817"/>
    <mergeCell ref="Q817:R817"/>
    <mergeCell ref="T817:V817"/>
    <mergeCell ref="Y817:AD817"/>
    <mergeCell ref="AF817:AL817"/>
    <mergeCell ref="A816:C816"/>
    <mergeCell ref="I816:P816"/>
    <mergeCell ref="Q816:R816"/>
    <mergeCell ref="T816:V816"/>
    <mergeCell ref="Y816:AD816"/>
    <mergeCell ref="AF816:AL816"/>
    <mergeCell ref="A815:C815"/>
    <mergeCell ref="M815:P815"/>
    <mergeCell ref="Q815:R815"/>
    <mergeCell ref="T815:V815"/>
    <mergeCell ref="Y815:AD815"/>
    <mergeCell ref="AF815:AL815"/>
    <mergeCell ref="A814:C814"/>
    <mergeCell ref="L814:P814"/>
    <mergeCell ref="Q814:R814"/>
    <mergeCell ref="T814:V814"/>
    <mergeCell ref="Y814:AD814"/>
    <mergeCell ref="AF814:AL814"/>
    <mergeCell ref="A813:C813"/>
    <mergeCell ref="K813:P813"/>
    <mergeCell ref="Q813:R813"/>
    <mergeCell ref="T813:V813"/>
    <mergeCell ref="Y813:AD813"/>
    <mergeCell ref="AF813:AL813"/>
    <mergeCell ref="A812:C812"/>
    <mergeCell ref="J812:P812"/>
    <mergeCell ref="Q812:R812"/>
    <mergeCell ref="T812:V812"/>
    <mergeCell ref="Y812:AD812"/>
    <mergeCell ref="AF812:AL812"/>
    <mergeCell ref="A823:C823"/>
    <mergeCell ref="M823:P823"/>
    <mergeCell ref="Q823:R823"/>
    <mergeCell ref="T823:V823"/>
    <mergeCell ref="Y823:AD823"/>
    <mergeCell ref="AF823:AL823"/>
    <mergeCell ref="A822:C822"/>
    <mergeCell ref="M822:P822"/>
    <mergeCell ref="Q822:R822"/>
    <mergeCell ref="T822:V822"/>
    <mergeCell ref="Y822:AD822"/>
    <mergeCell ref="AF822:AL822"/>
    <mergeCell ref="A821:C821"/>
    <mergeCell ref="M821:P821"/>
    <mergeCell ref="Q821:R821"/>
    <mergeCell ref="T821:V821"/>
    <mergeCell ref="Y821:AD821"/>
    <mergeCell ref="AF821:AL821"/>
    <mergeCell ref="A820:C820"/>
    <mergeCell ref="M820:P820"/>
    <mergeCell ref="Q820:R820"/>
    <mergeCell ref="T820:V820"/>
    <mergeCell ref="Y820:AD820"/>
    <mergeCell ref="AF820:AL820"/>
    <mergeCell ref="A819:C819"/>
    <mergeCell ref="L819:P819"/>
    <mergeCell ref="Q819:R819"/>
    <mergeCell ref="T819:V819"/>
    <mergeCell ref="Y819:AD819"/>
    <mergeCell ref="AF819:AL819"/>
    <mergeCell ref="A818:C818"/>
    <mergeCell ref="K818:P818"/>
    <mergeCell ref="Q818:R818"/>
    <mergeCell ref="T818:V818"/>
    <mergeCell ref="Y818:AD818"/>
    <mergeCell ref="AF818:AL818"/>
    <mergeCell ref="A829:C829"/>
    <mergeCell ref="M829:P829"/>
    <mergeCell ref="Q829:R829"/>
    <mergeCell ref="T829:V829"/>
    <mergeCell ref="Y829:AD829"/>
    <mergeCell ref="AF829:AL829"/>
    <mergeCell ref="A828:C828"/>
    <mergeCell ref="M828:P828"/>
    <mergeCell ref="Q828:R828"/>
    <mergeCell ref="T828:V828"/>
    <mergeCell ref="Y828:AD828"/>
    <mergeCell ref="AF828:AL828"/>
    <mergeCell ref="A827:C827"/>
    <mergeCell ref="M827:P827"/>
    <mergeCell ref="Q827:R827"/>
    <mergeCell ref="T827:V827"/>
    <mergeCell ref="Y827:AD827"/>
    <mergeCell ref="AF827:AL827"/>
    <mergeCell ref="A826:C826"/>
    <mergeCell ref="M826:P826"/>
    <mergeCell ref="Q826:R826"/>
    <mergeCell ref="T826:V826"/>
    <mergeCell ref="Y826:AD826"/>
    <mergeCell ref="AF826:AL826"/>
    <mergeCell ref="A825:C825"/>
    <mergeCell ref="M825:P825"/>
    <mergeCell ref="Q825:R825"/>
    <mergeCell ref="T825:V825"/>
    <mergeCell ref="Y825:AD825"/>
    <mergeCell ref="AF825:AL825"/>
    <mergeCell ref="A824:C824"/>
    <mergeCell ref="M824:P824"/>
    <mergeCell ref="Q824:R824"/>
    <mergeCell ref="T824:V824"/>
    <mergeCell ref="Y824:AD824"/>
    <mergeCell ref="AF824:AL824"/>
    <mergeCell ref="A835:C835"/>
    <mergeCell ref="L835:P835"/>
    <mergeCell ref="Q835:R835"/>
    <mergeCell ref="T835:V835"/>
    <mergeCell ref="Y835:AD835"/>
    <mergeCell ref="AF835:AL835"/>
    <mergeCell ref="A834:C834"/>
    <mergeCell ref="M834:P834"/>
    <mergeCell ref="Q834:R834"/>
    <mergeCell ref="T834:V834"/>
    <mergeCell ref="Y834:AD834"/>
    <mergeCell ref="AF834:AL834"/>
    <mergeCell ref="A833:C833"/>
    <mergeCell ref="M833:P833"/>
    <mergeCell ref="Q833:R833"/>
    <mergeCell ref="T833:V833"/>
    <mergeCell ref="Y833:AD833"/>
    <mergeCell ref="AF833:AL833"/>
    <mergeCell ref="A832:C832"/>
    <mergeCell ref="M832:P832"/>
    <mergeCell ref="Q832:R832"/>
    <mergeCell ref="T832:V832"/>
    <mergeCell ref="Y832:AD832"/>
    <mergeCell ref="AF832:AL832"/>
    <mergeCell ref="A831:C831"/>
    <mergeCell ref="M831:P831"/>
    <mergeCell ref="Q831:R831"/>
    <mergeCell ref="T831:V831"/>
    <mergeCell ref="Y831:AD831"/>
    <mergeCell ref="AF831:AL831"/>
    <mergeCell ref="A830:C830"/>
    <mergeCell ref="M830:P830"/>
    <mergeCell ref="Q830:R830"/>
    <mergeCell ref="T830:V830"/>
    <mergeCell ref="Y830:AD830"/>
    <mergeCell ref="AF830:AL830"/>
    <mergeCell ref="A841:C841"/>
    <mergeCell ref="K841:P841"/>
    <mergeCell ref="Q841:R841"/>
    <mergeCell ref="T841:V841"/>
    <mergeCell ref="Y841:AD841"/>
    <mergeCell ref="AF841:AL841"/>
    <mergeCell ref="A840:C840"/>
    <mergeCell ref="J840:P840"/>
    <mergeCell ref="Q840:R840"/>
    <mergeCell ref="T840:V840"/>
    <mergeCell ref="Y840:AD840"/>
    <mergeCell ref="AF840:AL840"/>
    <mergeCell ref="A839:C839"/>
    <mergeCell ref="I839:P839"/>
    <mergeCell ref="Q839:R839"/>
    <mergeCell ref="T839:V839"/>
    <mergeCell ref="Y839:AD839"/>
    <mergeCell ref="AF839:AL839"/>
    <mergeCell ref="A838:C838"/>
    <mergeCell ref="H838:P838"/>
    <mergeCell ref="Q838:R838"/>
    <mergeCell ref="T838:V838"/>
    <mergeCell ref="Y838:AD838"/>
    <mergeCell ref="AF838:AL838"/>
    <mergeCell ref="A837:C837"/>
    <mergeCell ref="M837:P837"/>
    <mergeCell ref="Q837:R837"/>
    <mergeCell ref="T837:V837"/>
    <mergeCell ref="Y837:AD837"/>
    <mergeCell ref="AF837:AL837"/>
    <mergeCell ref="A836:C836"/>
    <mergeCell ref="M836:P836"/>
    <mergeCell ref="Q836:R836"/>
    <mergeCell ref="T836:V836"/>
    <mergeCell ref="Y836:AD836"/>
    <mergeCell ref="AF836:AL836"/>
    <mergeCell ref="A847:C847"/>
    <mergeCell ref="K847:P847"/>
    <mergeCell ref="Q847:R847"/>
    <mergeCell ref="T847:V847"/>
    <mergeCell ref="Y847:AD847"/>
    <mergeCell ref="AF847:AL847"/>
    <mergeCell ref="A846:C846"/>
    <mergeCell ref="J846:P846"/>
    <mergeCell ref="Q846:R846"/>
    <mergeCell ref="T846:V846"/>
    <mergeCell ref="Y846:AD846"/>
    <mergeCell ref="AF846:AL846"/>
    <mergeCell ref="A845:C845"/>
    <mergeCell ref="I845:P845"/>
    <mergeCell ref="Q845:R845"/>
    <mergeCell ref="T845:V845"/>
    <mergeCell ref="Y845:AD845"/>
    <mergeCell ref="AF845:AL845"/>
    <mergeCell ref="A844:C844"/>
    <mergeCell ref="H844:P844"/>
    <mergeCell ref="Q844:R844"/>
    <mergeCell ref="T844:V844"/>
    <mergeCell ref="Y844:AD844"/>
    <mergeCell ref="AF844:AL844"/>
    <mergeCell ref="A843:C843"/>
    <mergeCell ref="M843:P843"/>
    <mergeCell ref="Q843:R843"/>
    <mergeCell ref="T843:V843"/>
    <mergeCell ref="Y843:AD843"/>
    <mergeCell ref="AF843:AL843"/>
    <mergeCell ref="A842:C842"/>
    <mergeCell ref="L842:P842"/>
    <mergeCell ref="Q842:R842"/>
    <mergeCell ref="T842:V842"/>
    <mergeCell ref="Y842:AD842"/>
    <mergeCell ref="AF842:AL842"/>
    <mergeCell ref="A853:C853"/>
    <mergeCell ref="J853:P853"/>
    <mergeCell ref="Q853:R853"/>
    <mergeCell ref="T853:V853"/>
    <mergeCell ref="Y853:AD853"/>
    <mergeCell ref="AF853:AL853"/>
    <mergeCell ref="A852:C852"/>
    <mergeCell ref="I852:P852"/>
    <mergeCell ref="Q852:R852"/>
    <mergeCell ref="T852:V852"/>
    <mergeCell ref="Y852:AD852"/>
    <mergeCell ref="AF852:AL852"/>
    <mergeCell ref="A851:C851"/>
    <mergeCell ref="M851:P851"/>
    <mergeCell ref="Q851:R851"/>
    <mergeCell ref="T851:V851"/>
    <mergeCell ref="Y851:AD851"/>
    <mergeCell ref="AF851:AL851"/>
    <mergeCell ref="A850:C850"/>
    <mergeCell ref="M850:P850"/>
    <mergeCell ref="Q850:R850"/>
    <mergeCell ref="T850:V850"/>
    <mergeCell ref="Y850:AD850"/>
    <mergeCell ref="AF850:AL850"/>
    <mergeCell ref="A849:C849"/>
    <mergeCell ref="M849:P849"/>
    <mergeCell ref="Q849:R849"/>
    <mergeCell ref="T849:V849"/>
    <mergeCell ref="Y849:AD849"/>
    <mergeCell ref="AF849:AL849"/>
    <mergeCell ref="A848:C848"/>
    <mergeCell ref="L848:P848"/>
    <mergeCell ref="Q848:R848"/>
    <mergeCell ref="T848:V848"/>
    <mergeCell ref="Y848:AD848"/>
    <mergeCell ref="AF848:AL848"/>
    <mergeCell ref="A859:C859"/>
    <mergeCell ref="H859:P859"/>
    <mergeCell ref="Q859:R859"/>
    <mergeCell ref="T859:V859"/>
    <mergeCell ref="Y859:AD859"/>
    <mergeCell ref="AF859:AL859"/>
    <mergeCell ref="A858:C858"/>
    <mergeCell ref="H858:P858"/>
    <mergeCell ref="Q858:R858"/>
    <mergeCell ref="T858:V858"/>
    <mergeCell ref="Y858:AD858"/>
    <mergeCell ref="AF858:AL858"/>
    <mergeCell ref="A857:C857"/>
    <mergeCell ref="H857:P857"/>
    <mergeCell ref="Q857:R857"/>
    <mergeCell ref="T857:V857"/>
    <mergeCell ref="Y857:AD857"/>
    <mergeCell ref="AF857:AL857"/>
    <mergeCell ref="A856:C856"/>
    <mergeCell ref="M856:P856"/>
    <mergeCell ref="Q856:R856"/>
    <mergeCell ref="T856:V856"/>
    <mergeCell ref="Y856:AD856"/>
    <mergeCell ref="AF856:AL856"/>
    <mergeCell ref="A855:C855"/>
    <mergeCell ref="L855:P855"/>
    <mergeCell ref="Q855:R855"/>
    <mergeCell ref="T855:V855"/>
    <mergeCell ref="Y855:AD855"/>
    <mergeCell ref="AF855:AL855"/>
    <mergeCell ref="A854:C854"/>
    <mergeCell ref="K854:P854"/>
    <mergeCell ref="Q854:R854"/>
    <mergeCell ref="T854:V854"/>
    <mergeCell ref="Y854:AD854"/>
    <mergeCell ref="AF854:AL854"/>
    <mergeCell ref="A865:C865"/>
    <mergeCell ref="K865:P865"/>
    <mergeCell ref="Q865:R865"/>
    <mergeCell ref="T865:V865"/>
    <mergeCell ref="Y865:AD865"/>
    <mergeCell ref="AF865:AL865"/>
    <mergeCell ref="A864:C864"/>
    <mergeCell ref="M864:P864"/>
    <mergeCell ref="Q864:R864"/>
    <mergeCell ref="T864:V864"/>
    <mergeCell ref="Y864:AD864"/>
    <mergeCell ref="AF864:AL864"/>
    <mergeCell ref="A863:C863"/>
    <mergeCell ref="L863:P863"/>
    <mergeCell ref="Q863:R863"/>
    <mergeCell ref="T863:V863"/>
    <mergeCell ref="Y863:AD863"/>
    <mergeCell ref="AF863:AL863"/>
    <mergeCell ref="A862:C862"/>
    <mergeCell ref="K862:P862"/>
    <mergeCell ref="Q862:R862"/>
    <mergeCell ref="T862:V862"/>
    <mergeCell ref="Y862:AD862"/>
    <mergeCell ref="AF862:AL862"/>
    <mergeCell ref="A861:C861"/>
    <mergeCell ref="J861:P861"/>
    <mergeCell ref="Q861:R861"/>
    <mergeCell ref="T861:V861"/>
    <mergeCell ref="Y861:AD861"/>
    <mergeCell ref="AF861:AL861"/>
    <mergeCell ref="A860:C860"/>
    <mergeCell ref="I860:P860"/>
    <mergeCell ref="Q860:R860"/>
    <mergeCell ref="T860:V860"/>
    <mergeCell ref="Y860:AD860"/>
    <mergeCell ref="AF860:AL860"/>
    <mergeCell ref="A871:C871"/>
    <mergeCell ref="L871:P871"/>
    <mergeCell ref="Q871:R871"/>
    <mergeCell ref="T871:V871"/>
    <mergeCell ref="Y871:AD871"/>
    <mergeCell ref="AF871:AL871"/>
    <mergeCell ref="A870:C870"/>
    <mergeCell ref="M870:P870"/>
    <mergeCell ref="Q870:R870"/>
    <mergeCell ref="T870:V870"/>
    <mergeCell ref="Y870:AD870"/>
    <mergeCell ref="AF870:AL870"/>
    <mergeCell ref="A869:C869"/>
    <mergeCell ref="L869:P869"/>
    <mergeCell ref="Q869:R869"/>
    <mergeCell ref="T869:V869"/>
    <mergeCell ref="Y869:AD869"/>
    <mergeCell ref="AF869:AL869"/>
    <mergeCell ref="A868:C868"/>
    <mergeCell ref="K868:P868"/>
    <mergeCell ref="Q868:R868"/>
    <mergeCell ref="T868:V868"/>
    <mergeCell ref="Y868:AD868"/>
    <mergeCell ref="AF868:AL868"/>
    <mergeCell ref="A867:C867"/>
    <mergeCell ref="M867:P867"/>
    <mergeCell ref="Q867:R867"/>
    <mergeCell ref="T867:V867"/>
    <mergeCell ref="Y867:AD867"/>
    <mergeCell ref="AF867:AL867"/>
    <mergeCell ref="A866:C866"/>
    <mergeCell ref="L866:P866"/>
    <mergeCell ref="Q866:R866"/>
    <mergeCell ref="T866:V866"/>
    <mergeCell ref="Y866:AD866"/>
    <mergeCell ref="AF866:AL866"/>
    <mergeCell ref="A877:C877"/>
    <mergeCell ref="L877:P877"/>
    <mergeCell ref="Q877:R877"/>
    <mergeCell ref="T877:V877"/>
    <mergeCell ref="Y877:AD877"/>
    <mergeCell ref="AF877:AL877"/>
    <mergeCell ref="A876:C876"/>
    <mergeCell ref="K876:P876"/>
    <mergeCell ref="Q876:R876"/>
    <mergeCell ref="T876:V876"/>
    <mergeCell ref="Y876:AD876"/>
    <mergeCell ref="AF876:AL876"/>
    <mergeCell ref="A875:C875"/>
    <mergeCell ref="M875:P875"/>
    <mergeCell ref="Q875:R875"/>
    <mergeCell ref="T875:V875"/>
    <mergeCell ref="Y875:AD875"/>
    <mergeCell ref="AF875:AL875"/>
    <mergeCell ref="A874:C874"/>
    <mergeCell ref="L874:P874"/>
    <mergeCell ref="Q874:R874"/>
    <mergeCell ref="T874:V874"/>
    <mergeCell ref="Y874:AD874"/>
    <mergeCell ref="AF874:AL874"/>
    <mergeCell ref="A873:C873"/>
    <mergeCell ref="K873:P873"/>
    <mergeCell ref="Q873:R873"/>
    <mergeCell ref="T873:V873"/>
    <mergeCell ref="Y873:AD873"/>
    <mergeCell ref="AF873:AL873"/>
    <mergeCell ref="A872:C872"/>
    <mergeCell ref="M872:P872"/>
    <mergeCell ref="Q872:R872"/>
    <mergeCell ref="T872:V872"/>
    <mergeCell ref="Y872:AD872"/>
    <mergeCell ref="AF872:AL872"/>
    <mergeCell ref="A883:C883"/>
    <mergeCell ref="L883:P883"/>
    <mergeCell ref="Q883:R883"/>
    <mergeCell ref="T883:V883"/>
    <mergeCell ref="Y883:AD883"/>
    <mergeCell ref="AF883:AL883"/>
    <mergeCell ref="A882:C882"/>
    <mergeCell ref="K882:P882"/>
    <mergeCell ref="Q882:R882"/>
    <mergeCell ref="T882:V882"/>
    <mergeCell ref="Y882:AD882"/>
    <mergeCell ref="AF882:AL882"/>
    <mergeCell ref="A881:C881"/>
    <mergeCell ref="J881:P881"/>
    <mergeCell ref="Q881:R881"/>
    <mergeCell ref="T881:V881"/>
    <mergeCell ref="Y881:AD881"/>
    <mergeCell ref="AF881:AL881"/>
    <mergeCell ref="A880:C880"/>
    <mergeCell ref="M880:P880"/>
    <mergeCell ref="Q880:R880"/>
    <mergeCell ref="T880:V880"/>
    <mergeCell ref="Y880:AD880"/>
    <mergeCell ref="AF880:AL880"/>
    <mergeCell ref="A879:C879"/>
    <mergeCell ref="L879:P879"/>
    <mergeCell ref="Q879:R879"/>
    <mergeCell ref="T879:V879"/>
    <mergeCell ref="Y879:AD879"/>
    <mergeCell ref="AF879:AL879"/>
    <mergeCell ref="A878:C878"/>
    <mergeCell ref="M878:P878"/>
    <mergeCell ref="Q878:R878"/>
    <mergeCell ref="T878:V878"/>
    <mergeCell ref="Y878:AD878"/>
    <mergeCell ref="AF878:AL878"/>
    <mergeCell ref="A889:C889"/>
    <mergeCell ref="L889:P889"/>
    <mergeCell ref="Q889:R889"/>
    <mergeCell ref="T889:V889"/>
    <mergeCell ref="Y889:AD889"/>
    <mergeCell ref="AF889:AL889"/>
    <mergeCell ref="A888:C888"/>
    <mergeCell ref="K888:P888"/>
    <mergeCell ref="Q888:R888"/>
    <mergeCell ref="T888:V888"/>
    <mergeCell ref="Y888:AD888"/>
    <mergeCell ref="AF888:AL888"/>
    <mergeCell ref="A887:C887"/>
    <mergeCell ref="M887:P887"/>
    <mergeCell ref="Q887:R887"/>
    <mergeCell ref="T887:V887"/>
    <mergeCell ref="Y887:AD887"/>
    <mergeCell ref="AF887:AL887"/>
    <mergeCell ref="A886:C886"/>
    <mergeCell ref="L886:P886"/>
    <mergeCell ref="Q886:R886"/>
    <mergeCell ref="T886:V886"/>
    <mergeCell ref="Y886:AD886"/>
    <mergeCell ref="AF886:AL886"/>
    <mergeCell ref="A885:C885"/>
    <mergeCell ref="K885:P885"/>
    <mergeCell ref="Q885:R885"/>
    <mergeCell ref="T885:V885"/>
    <mergeCell ref="Y885:AD885"/>
    <mergeCell ref="AF885:AL885"/>
    <mergeCell ref="A884:C884"/>
    <mergeCell ref="M884:P884"/>
    <mergeCell ref="Q884:R884"/>
    <mergeCell ref="T884:V884"/>
    <mergeCell ref="Y884:AD884"/>
    <mergeCell ref="AF884:AL884"/>
    <mergeCell ref="A895:C895"/>
    <mergeCell ref="M895:P895"/>
    <mergeCell ref="Q895:R895"/>
    <mergeCell ref="T895:V895"/>
    <mergeCell ref="Y895:AD895"/>
    <mergeCell ref="AF895:AL895"/>
    <mergeCell ref="A894:C894"/>
    <mergeCell ref="L894:P894"/>
    <mergeCell ref="Q894:R894"/>
    <mergeCell ref="T894:V894"/>
    <mergeCell ref="Y894:AD894"/>
    <mergeCell ref="AF894:AL894"/>
    <mergeCell ref="A893:C893"/>
    <mergeCell ref="K893:P893"/>
    <mergeCell ref="Q893:R893"/>
    <mergeCell ref="T893:V893"/>
    <mergeCell ref="Y893:AD893"/>
    <mergeCell ref="AF893:AL893"/>
    <mergeCell ref="A892:C892"/>
    <mergeCell ref="M892:P892"/>
    <mergeCell ref="Q892:R892"/>
    <mergeCell ref="T892:V892"/>
    <mergeCell ref="Y892:AD892"/>
    <mergeCell ref="AF892:AL892"/>
    <mergeCell ref="A891:C891"/>
    <mergeCell ref="L891:P891"/>
    <mergeCell ref="Q891:R891"/>
    <mergeCell ref="T891:V891"/>
    <mergeCell ref="Y891:AD891"/>
    <mergeCell ref="AF891:AL891"/>
    <mergeCell ref="A890:C890"/>
    <mergeCell ref="M890:P890"/>
    <mergeCell ref="Q890:R890"/>
    <mergeCell ref="T890:V890"/>
    <mergeCell ref="Y890:AD890"/>
    <mergeCell ref="AF890:AL890"/>
    <mergeCell ref="A901:C901"/>
    <mergeCell ref="I901:P901"/>
    <mergeCell ref="Q901:R901"/>
    <mergeCell ref="T901:V901"/>
    <mergeCell ref="Y901:AD901"/>
    <mergeCell ref="AF901:AL901"/>
    <mergeCell ref="A900:C900"/>
    <mergeCell ref="M900:P900"/>
    <mergeCell ref="Q900:R900"/>
    <mergeCell ref="T900:V900"/>
    <mergeCell ref="Y900:AD900"/>
    <mergeCell ref="AF900:AL900"/>
    <mergeCell ref="A899:C899"/>
    <mergeCell ref="L899:P899"/>
    <mergeCell ref="Q899:R899"/>
    <mergeCell ref="T899:V899"/>
    <mergeCell ref="Y899:AD899"/>
    <mergeCell ref="AF899:AL899"/>
    <mergeCell ref="A898:C898"/>
    <mergeCell ref="M898:P898"/>
    <mergeCell ref="Q898:R898"/>
    <mergeCell ref="T898:V898"/>
    <mergeCell ref="Y898:AD898"/>
    <mergeCell ref="AF898:AL898"/>
    <mergeCell ref="A897:C897"/>
    <mergeCell ref="L897:P897"/>
    <mergeCell ref="Q897:R897"/>
    <mergeCell ref="T897:V897"/>
    <mergeCell ref="Y897:AD897"/>
    <mergeCell ref="AF897:AL897"/>
    <mergeCell ref="A896:C896"/>
    <mergeCell ref="K896:P896"/>
    <mergeCell ref="Q896:R896"/>
    <mergeCell ref="T896:V896"/>
    <mergeCell ref="Y896:AD896"/>
    <mergeCell ref="AF896:AL896"/>
    <mergeCell ref="A907:C907"/>
    <mergeCell ref="L907:P907"/>
    <mergeCell ref="Q907:R907"/>
    <mergeCell ref="T907:V907"/>
    <mergeCell ref="Y907:AD907"/>
    <mergeCell ref="AF907:AL907"/>
    <mergeCell ref="A906:C906"/>
    <mergeCell ref="K906:P906"/>
    <mergeCell ref="Q906:R906"/>
    <mergeCell ref="T906:V906"/>
    <mergeCell ref="Y906:AD906"/>
    <mergeCell ref="AF906:AL906"/>
    <mergeCell ref="A905:C905"/>
    <mergeCell ref="M905:P905"/>
    <mergeCell ref="Q905:R905"/>
    <mergeCell ref="T905:V905"/>
    <mergeCell ref="Y905:AD905"/>
    <mergeCell ref="AF905:AL905"/>
    <mergeCell ref="A904:C904"/>
    <mergeCell ref="L904:P904"/>
    <mergeCell ref="Q904:R904"/>
    <mergeCell ref="T904:V904"/>
    <mergeCell ref="Y904:AD904"/>
    <mergeCell ref="AF904:AL904"/>
    <mergeCell ref="A903:C903"/>
    <mergeCell ref="K903:P903"/>
    <mergeCell ref="Q903:R903"/>
    <mergeCell ref="T903:V903"/>
    <mergeCell ref="Y903:AD903"/>
    <mergeCell ref="AF903:AL903"/>
    <mergeCell ref="A902:C902"/>
    <mergeCell ref="J902:P902"/>
    <mergeCell ref="Q902:R902"/>
    <mergeCell ref="T902:V902"/>
    <mergeCell ref="Y902:AD902"/>
    <mergeCell ref="AF902:AL902"/>
    <mergeCell ref="A913:C913"/>
    <mergeCell ref="K913:P913"/>
    <mergeCell ref="Q913:R913"/>
    <mergeCell ref="T913:V913"/>
    <mergeCell ref="Y913:AD913"/>
    <mergeCell ref="AF913:AL913"/>
    <mergeCell ref="A912:C912"/>
    <mergeCell ref="J912:P912"/>
    <mergeCell ref="Q912:R912"/>
    <mergeCell ref="T912:V912"/>
    <mergeCell ref="Y912:AD912"/>
    <mergeCell ref="AF912:AL912"/>
    <mergeCell ref="A911:C911"/>
    <mergeCell ref="M911:P911"/>
    <mergeCell ref="Q911:R911"/>
    <mergeCell ref="T911:V911"/>
    <mergeCell ref="Y911:AD911"/>
    <mergeCell ref="AF911:AL911"/>
    <mergeCell ref="A910:C910"/>
    <mergeCell ref="L910:P910"/>
    <mergeCell ref="Q910:R910"/>
    <mergeCell ref="T910:V910"/>
    <mergeCell ref="Y910:AD910"/>
    <mergeCell ref="AF910:AL910"/>
    <mergeCell ref="A909:C909"/>
    <mergeCell ref="K909:P909"/>
    <mergeCell ref="Q909:R909"/>
    <mergeCell ref="T909:V909"/>
    <mergeCell ref="Y909:AD909"/>
    <mergeCell ref="AF909:AL909"/>
    <mergeCell ref="A908:C908"/>
    <mergeCell ref="M908:P908"/>
    <mergeCell ref="Q908:R908"/>
    <mergeCell ref="T908:V908"/>
    <mergeCell ref="Y908:AD908"/>
    <mergeCell ref="AF908:AL908"/>
    <mergeCell ref="A919:C919"/>
    <mergeCell ref="K919:P919"/>
    <mergeCell ref="Q919:R919"/>
    <mergeCell ref="T919:V919"/>
    <mergeCell ref="Y919:AD919"/>
    <mergeCell ref="AF919:AL919"/>
    <mergeCell ref="A918:C918"/>
    <mergeCell ref="M918:P918"/>
    <mergeCell ref="Q918:R918"/>
    <mergeCell ref="T918:V918"/>
    <mergeCell ref="Y918:AD918"/>
    <mergeCell ref="AF918:AL918"/>
    <mergeCell ref="A917:C917"/>
    <mergeCell ref="L917:P917"/>
    <mergeCell ref="Q917:R917"/>
    <mergeCell ref="T917:V917"/>
    <mergeCell ref="Y917:AD917"/>
    <mergeCell ref="AF917:AL917"/>
    <mergeCell ref="A916:C916"/>
    <mergeCell ref="K916:P916"/>
    <mergeCell ref="Q916:R916"/>
    <mergeCell ref="T916:V916"/>
    <mergeCell ref="Y916:AD916"/>
    <mergeCell ref="AF916:AL916"/>
    <mergeCell ref="A915:C915"/>
    <mergeCell ref="M915:P915"/>
    <mergeCell ref="Q915:R915"/>
    <mergeCell ref="T915:V915"/>
    <mergeCell ref="Y915:AD915"/>
    <mergeCell ref="AF915:AL915"/>
    <mergeCell ref="A914:C914"/>
    <mergeCell ref="L914:P914"/>
    <mergeCell ref="Q914:R914"/>
    <mergeCell ref="T914:V914"/>
    <mergeCell ref="Y914:AD914"/>
    <mergeCell ref="AF914:AL914"/>
    <mergeCell ref="A925:C925"/>
    <mergeCell ref="K925:P925"/>
    <mergeCell ref="Q925:R925"/>
    <mergeCell ref="T925:V925"/>
    <mergeCell ref="Y925:AD925"/>
    <mergeCell ref="AF925:AL925"/>
    <mergeCell ref="A924:C924"/>
    <mergeCell ref="J924:P924"/>
    <mergeCell ref="Q924:R924"/>
    <mergeCell ref="T924:V924"/>
    <mergeCell ref="Y924:AD924"/>
    <mergeCell ref="AF924:AL924"/>
    <mergeCell ref="A923:C923"/>
    <mergeCell ref="I923:P923"/>
    <mergeCell ref="Q923:R923"/>
    <mergeCell ref="T923:V923"/>
    <mergeCell ref="Y923:AD923"/>
    <mergeCell ref="AF923:AL923"/>
    <mergeCell ref="A922:C922"/>
    <mergeCell ref="H922:P922"/>
    <mergeCell ref="Q922:R922"/>
    <mergeCell ref="T922:V922"/>
    <mergeCell ref="Y922:AD922"/>
    <mergeCell ref="AF922:AL922"/>
    <mergeCell ref="A921:C921"/>
    <mergeCell ref="M921:P921"/>
    <mergeCell ref="Q921:R921"/>
    <mergeCell ref="T921:V921"/>
    <mergeCell ref="Y921:AD921"/>
    <mergeCell ref="AF921:AL921"/>
    <mergeCell ref="A920:C920"/>
    <mergeCell ref="L920:P920"/>
    <mergeCell ref="Q920:R920"/>
    <mergeCell ref="T920:V920"/>
    <mergeCell ref="Y920:AD920"/>
    <mergeCell ref="AF920:AL920"/>
    <mergeCell ref="A931:C931"/>
    <mergeCell ref="M931:P931"/>
    <mergeCell ref="Q931:R931"/>
    <mergeCell ref="T931:V931"/>
    <mergeCell ref="Y931:AD931"/>
    <mergeCell ref="AF931:AL931"/>
    <mergeCell ref="A930:C930"/>
    <mergeCell ref="L930:P930"/>
    <mergeCell ref="Q930:R930"/>
    <mergeCell ref="T930:V930"/>
    <mergeCell ref="Y930:AD930"/>
    <mergeCell ref="AF930:AL930"/>
    <mergeCell ref="A929:C929"/>
    <mergeCell ref="K929:P929"/>
    <mergeCell ref="Q929:R929"/>
    <mergeCell ref="T929:V929"/>
    <mergeCell ref="Y929:AD929"/>
    <mergeCell ref="AF929:AL929"/>
    <mergeCell ref="A928:C928"/>
    <mergeCell ref="J928:P928"/>
    <mergeCell ref="Q928:R928"/>
    <mergeCell ref="T928:V928"/>
    <mergeCell ref="Y928:AD928"/>
    <mergeCell ref="AF928:AL928"/>
    <mergeCell ref="A927:C927"/>
    <mergeCell ref="M927:P927"/>
    <mergeCell ref="Q927:R927"/>
    <mergeCell ref="T927:V927"/>
    <mergeCell ref="Y927:AD927"/>
    <mergeCell ref="AF927:AL927"/>
    <mergeCell ref="A926:C926"/>
    <mergeCell ref="L926:P926"/>
    <mergeCell ref="Q926:R926"/>
    <mergeCell ref="T926:V926"/>
    <mergeCell ref="Y926:AD926"/>
    <mergeCell ref="AF926:AL926"/>
    <mergeCell ref="A937:C937"/>
    <mergeCell ref="J937:P937"/>
    <mergeCell ref="Q937:R937"/>
    <mergeCell ref="T937:V937"/>
    <mergeCell ref="Y937:AD937"/>
    <mergeCell ref="AF937:AL937"/>
    <mergeCell ref="A936:C936"/>
    <mergeCell ref="M936:P936"/>
    <mergeCell ref="Q936:R936"/>
    <mergeCell ref="T936:V936"/>
    <mergeCell ref="Y936:AD936"/>
    <mergeCell ref="AF936:AL936"/>
    <mergeCell ref="A935:C935"/>
    <mergeCell ref="L935:P935"/>
    <mergeCell ref="Q935:R935"/>
    <mergeCell ref="T935:V935"/>
    <mergeCell ref="Y935:AD935"/>
    <mergeCell ref="AF935:AL935"/>
    <mergeCell ref="A934:C934"/>
    <mergeCell ref="K934:P934"/>
    <mergeCell ref="Q934:R934"/>
    <mergeCell ref="T934:V934"/>
    <mergeCell ref="Y934:AD934"/>
    <mergeCell ref="AF934:AL934"/>
    <mergeCell ref="A933:C933"/>
    <mergeCell ref="J933:P933"/>
    <mergeCell ref="Q933:R933"/>
    <mergeCell ref="T933:V933"/>
    <mergeCell ref="Y933:AD933"/>
    <mergeCell ref="AF933:AL933"/>
    <mergeCell ref="A932:C932"/>
    <mergeCell ref="I932:P932"/>
    <mergeCell ref="Q932:R932"/>
    <mergeCell ref="T932:V932"/>
    <mergeCell ref="Y932:AD932"/>
    <mergeCell ref="AF932:AL932"/>
    <mergeCell ref="A943:C943"/>
    <mergeCell ref="H943:P943"/>
    <mergeCell ref="Q943:R943"/>
    <mergeCell ref="T943:V943"/>
    <mergeCell ref="Y943:AD943"/>
    <mergeCell ref="AF943:AL943"/>
    <mergeCell ref="A942:C942"/>
    <mergeCell ref="H942:P942"/>
    <mergeCell ref="Q942:R942"/>
    <mergeCell ref="T942:V942"/>
    <mergeCell ref="Y942:AD942"/>
    <mergeCell ref="AF942:AL942"/>
    <mergeCell ref="A941:C941"/>
    <mergeCell ref="H941:P941"/>
    <mergeCell ref="Q941:R941"/>
    <mergeCell ref="T941:V941"/>
    <mergeCell ref="Y941:AD941"/>
    <mergeCell ref="AF941:AL941"/>
    <mergeCell ref="A940:C940"/>
    <mergeCell ref="M940:P940"/>
    <mergeCell ref="Q940:R940"/>
    <mergeCell ref="T940:V940"/>
    <mergeCell ref="Y940:AD940"/>
    <mergeCell ref="AF940:AL940"/>
    <mergeCell ref="A939:C939"/>
    <mergeCell ref="L939:P939"/>
    <mergeCell ref="Q939:R939"/>
    <mergeCell ref="T939:V939"/>
    <mergeCell ref="Y939:AD939"/>
    <mergeCell ref="AF939:AL939"/>
    <mergeCell ref="A938:C938"/>
    <mergeCell ref="K938:P938"/>
    <mergeCell ref="Q938:R938"/>
    <mergeCell ref="T938:V938"/>
    <mergeCell ref="Y938:AD938"/>
    <mergeCell ref="AF938:AL938"/>
    <mergeCell ref="A949:C949"/>
    <mergeCell ref="K949:P949"/>
    <mergeCell ref="Q949:R949"/>
    <mergeCell ref="T949:V949"/>
    <mergeCell ref="Y949:AD949"/>
    <mergeCell ref="AF949:AL949"/>
    <mergeCell ref="A948:C948"/>
    <mergeCell ref="M948:P948"/>
    <mergeCell ref="Q948:R948"/>
    <mergeCell ref="T948:V948"/>
    <mergeCell ref="Y948:AD948"/>
    <mergeCell ref="AF948:AL948"/>
    <mergeCell ref="A947:C947"/>
    <mergeCell ref="L947:P947"/>
    <mergeCell ref="Q947:R947"/>
    <mergeCell ref="T947:V947"/>
    <mergeCell ref="Y947:AD947"/>
    <mergeCell ref="AF947:AL947"/>
    <mergeCell ref="A946:C946"/>
    <mergeCell ref="K946:P946"/>
    <mergeCell ref="Q946:R946"/>
    <mergeCell ref="T946:V946"/>
    <mergeCell ref="Y946:AD946"/>
    <mergeCell ref="AF946:AL946"/>
    <mergeCell ref="A945:C945"/>
    <mergeCell ref="J945:P945"/>
    <mergeCell ref="Q945:R945"/>
    <mergeCell ref="T945:V945"/>
    <mergeCell ref="Y945:AD945"/>
    <mergeCell ref="AF945:AL945"/>
    <mergeCell ref="A944:C944"/>
    <mergeCell ref="I944:P944"/>
    <mergeCell ref="Q944:R944"/>
    <mergeCell ref="T944:V944"/>
    <mergeCell ref="Y944:AD944"/>
    <mergeCell ref="AF944:AL944"/>
    <mergeCell ref="A955:C955"/>
    <mergeCell ref="L955:P955"/>
    <mergeCell ref="Q955:R955"/>
    <mergeCell ref="T955:V955"/>
    <mergeCell ref="Y955:AD955"/>
    <mergeCell ref="AF955:AL955"/>
    <mergeCell ref="A954:C954"/>
    <mergeCell ref="M954:P954"/>
    <mergeCell ref="Q954:R954"/>
    <mergeCell ref="T954:V954"/>
    <mergeCell ref="Y954:AD954"/>
    <mergeCell ref="AF954:AL954"/>
    <mergeCell ref="A953:C953"/>
    <mergeCell ref="L953:P953"/>
    <mergeCell ref="Q953:R953"/>
    <mergeCell ref="T953:V953"/>
    <mergeCell ref="Y953:AD953"/>
    <mergeCell ref="AF953:AL953"/>
    <mergeCell ref="A952:C952"/>
    <mergeCell ref="K952:P952"/>
    <mergeCell ref="Q952:R952"/>
    <mergeCell ref="T952:V952"/>
    <mergeCell ref="Y952:AD952"/>
    <mergeCell ref="AF952:AL952"/>
    <mergeCell ref="A951:C951"/>
    <mergeCell ref="M951:P951"/>
    <mergeCell ref="Q951:R951"/>
    <mergeCell ref="T951:V951"/>
    <mergeCell ref="Y951:AD951"/>
    <mergeCell ref="AF951:AL951"/>
    <mergeCell ref="A950:C950"/>
    <mergeCell ref="L950:P950"/>
    <mergeCell ref="Q950:R950"/>
    <mergeCell ref="T950:V950"/>
    <mergeCell ref="Y950:AD950"/>
    <mergeCell ref="AF950:AL950"/>
    <mergeCell ref="A961:C961"/>
    <mergeCell ref="L961:P961"/>
    <mergeCell ref="Q961:R961"/>
    <mergeCell ref="T961:V961"/>
    <mergeCell ref="Y961:AD961"/>
    <mergeCell ref="AF961:AL961"/>
    <mergeCell ref="A960:C960"/>
    <mergeCell ref="K960:P960"/>
    <mergeCell ref="Q960:R960"/>
    <mergeCell ref="T960:V960"/>
    <mergeCell ref="Y960:AD960"/>
    <mergeCell ref="AF960:AL960"/>
    <mergeCell ref="A959:C959"/>
    <mergeCell ref="M959:P959"/>
    <mergeCell ref="Q959:R959"/>
    <mergeCell ref="T959:V959"/>
    <mergeCell ref="Y959:AD959"/>
    <mergeCell ref="AF959:AL959"/>
    <mergeCell ref="A958:C958"/>
    <mergeCell ref="L958:P958"/>
    <mergeCell ref="Q958:R958"/>
    <mergeCell ref="T958:V958"/>
    <mergeCell ref="Y958:AD958"/>
    <mergeCell ref="AF958:AL958"/>
    <mergeCell ref="A957:C957"/>
    <mergeCell ref="K957:P957"/>
    <mergeCell ref="Q957:R957"/>
    <mergeCell ref="T957:V957"/>
    <mergeCell ref="Y957:AD957"/>
    <mergeCell ref="AF957:AL957"/>
    <mergeCell ref="A956:C956"/>
    <mergeCell ref="M956:P956"/>
    <mergeCell ref="Q956:R956"/>
    <mergeCell ref="T956:V956"/>
    <mergeCell ref="Y956:AD956"/>
    <mergeCell ref="AF956:AL956"/>
    <mergeCell ref="A967:C967"/>
    <mergeCell ref="L967:P967"/>
    <mergeCell ref="Q967:R967"/>
    <mergeCell ref="T967:V967"/>
    <mergeCell ref="Y967:AD967"/>
    <mergeCell ref="AF967:AL967"/>
    <mergeCell ref="A966:C966"/>
    <mergeCell ref="K966:P966"/>
    <mergeCell ref="Q966:R966"/>
    <mergeCell ref="T966:V966"/>
    <mergeCell ref="Y966:AD966"/>
    <mergeCell ref="AF966:AL966"/>
    <mergeCell ref="A965:C965"/>
    <mergeCell ref="J965:P965"/>
    <mergeCell ref="Q965:R965"/>
    <mergeCell ref="T965:V965"/>
    <mergeCell ref="Y965:AD965"/>
    <mergeCell ref="AF965:AL965"/>
    <mergeCell ref="A964:C964"/>
    <mergeCell ref="M964:P964"/>
    <mergeCell ref="Q964:R964"/>
    <mergeCell ref="T964:V964"/>
    <mergeCell ref="Y964:AD964"/>
    <mergeCell ref="AF964:AL964"/>
    <mergeCell ref="A963:C963"/>
    <mergeCell ref="L963:P963"/>
    <mergeCell ref="Q963:R963"/>
    <mergeCell ref="T963:V963"/>
    <mergeCell ref="Y963:AD963"/>
    <mergeCell ref="AF963:AL963"/>
    <mergeCell ref="A962:C962"/>
    <mergeCell ref="M962:P962"/>
    <mergeCell ref="Q962:R962"/>
    <mergeCell ref="T962:V962"/>
    <mergeCell ref="Y962:AD962"/>
    <mergeCell ref="AF962:AL962"/>
    <mergeCell ref="A973:C973"/>
    <mergeCell ref="L973:P973"/>
    <mergeCell ref="Q973:R973"/>
    <mergeCell ref="T973:V973"/>
    <mergeCell ref="Y973:AD973"/>
    <mergeCell ref="AF973:AL973"/>
    <mergeCell ref="A972:C972"/>
    <mergeCell ref="K972:P972"/>
    <mergeCell ref="Q972:R972"/>
    <mergeCell ref="T972:V972"/>
    <mergeCell ref="Y972:AD972"/>
    <mergeCell ref="AF972:AL972"/>
    <mergeCell ref="A971:C971"/>
    <mergeCell ref="M971:P971"/>
    <mergeCell ref="Q971:R971"/>
    <mergeCell ref="T971:V971"/>
    <mergeCell ref="Y971:AD971"/>
    <mergeCell ref="AF971:AL971"/>
    <mergeCell ref="A970:C970"/>
    <mergeCell ref="L970:P970"/>
    <mergeCell ref="Q970:R970"/>
    <mergeCell ref="T970:V970"/>
    <mergeCell ref="Y970:AD970"/>
    <mergeCell ref="AF970:AL970"/>
    <mergeCell ref="A969:C969"/>
    <mergeCell ref="K969:P969"/>
    <mergeCell ref="Q969:R969"/>
    <mergeCell ref="T969:V969"/>
    <mergeCell ref="Y969:AD969"/>
    <mergeCell ref="AF969:AL969"/>
    <mergeCell ref="A968:C968"/>
    <mergeCell ref="M968:P968"/>
    <mergeCell ref="Q968:R968"/>
    <mergeCell ref="T968:V968"/>
    <mergeCell ref="Y968:AD968"/>
    <mergeCell ref="AF968:AL968"/>
    <mergeCell ref="A979:C979"/>
    <mergeCell ref="M979:P979"/>
    <mergeCell ref="Q979:R979"/>
    <mergeCell ref="T979:V979"/>
    <mergeCell ref="Y979:AD979"/>
    <mergeCell ref="AF979:AL979"/>
    <mergeCell ref="A978:C978"/>
    <mergeCell ref="L978:P978"/>
    <mergeCell ref="Q978:R978"/>
    <mergeCell ref="T978:V978"/>
    <mergeCell ref="Y978:AD978"/>
    <mergeCell ref="AF978:AL978"/>
    <mergeCell ref="A977:C977"/>
    <mergeCell ref="K977:P977"/>
    <mergeCell ref="Q977:R977"/>
    <mergeCell ref="T977:V977"/>
    <mergeCell ref="Y977:AD977"/>
    <mergeCell ref="AF977:AL977"/>
    <mergeCell ref="A976:C976"/>
    <mergeCell ref="M976:P976"/>
    <mergeCell ref="Q976:R976"/>
    <mergeCell ref="T976:V976"/>
    <mergeCell ref="Y976:AD976"/>
    <mergeCell ref="AF976:AL976"/>
    <mergeCell ref="A975:C975"/>
    <mergeCell ref="L975:P975"/>
    <mergeCell ref="Q975:R975"/>
    <mergeCell ref="T975:V975"/>
    <mergeCell ref="Y975:AD975"/>
    <mergeCell ref="AF975:AL975"/>
    <mergeCell ref="A974:C974"/>
    <mergeCell ref="M974:P974"/>
    <mergeCell ref="Q974:R974"/>
    <mergeCell ref="T974:V974"/>
    <mergeCell ref="Y974:AD974"/>
    <mergeCell ref="AF974:AL974"/>
    <mergeCell ref="A985:C985"/>
    <mergeCell ref="I985:P985"/>
    <mergeCell ref="Q985:R985"/>
    <mergeCell ref="T985:V985"/>
    <mergeCell ref="Y985:AD985"/>
    <mergeCell ref="AF985:AL985"/>
    <mergeCell ref="A984:C984"/>
    <mergeCell ref="M984:P984"/>
    <mergeCell ref="Q984:R984"/>
    <mergeCell ref="T984:V984"/>
    <mergeCell ref="Y984:AD984"/>
    <mergeCell ref="AF984:AL984"/>
    <mergeCell ref="A983:C983"/>
    <mergeCell ref="L983:P983"/>
    <mergeCell ref="Q983:R983"/>
    <mergeCell ref="T983:V983"/>
    <mergeCell ref="Y983:AD983"/>
    <mergeCell ref="AF983:AL983"/>
    <mergeCell ref="A982:C982"/>
    <mergeCell ref="M982:P982"/>
    <mergeCell ref="Q982:R982"/>
    <mergeCell ref="T982:V982"/>
    <mergeCell ref="Y982:AD982"/>
    <mergeCell ref="AF982:AL982"/>
    <mergeCell ref="A981:C981"/>
    <mergeCell ref="L981:P981"/>
    <mergeCell ref="Q981:R981"/>
    <mergeCell ref="T981:V981"/>
    <mergeCell ref="Y981:AD981"/>
    <mergeCell ref="AF981:AL981"/>
    <mergeCell ref="A980:C980"/>
    <mergeCell ref="K980:P980"/>
    <mergeCell ref="Q980:R980"/>
    <mergeCell ref="T980:V980"/>
    <mergeCell ref="Y980:AD980"/>
    <mergeCell ref="AF980:AL980"/>
    <mergeCell ref="A991:C991"/>
    <mergeCell ref="L991:P991"/>
    <mergeCell ref="Q991:R991"/>
    <mergeCell ref="T991:V991"/>
    <mergeCell ref="Y991:AD991"/>
    <mergeCell ref="AF991:AL991"/>
    <mergeCell ref="A990:C990"/>
    <mergeCell ref="K990:P990"/>
    <mergeCell ref="Q990:R990"/>
    <mergeCell ref="T990:V990"/>
    <mergeCell ref="Y990:AD990"/>
    <mergeCell ref="AF990:AL990"/>
    <mergeCell ref="A989:C989"/>
    <mergeCell ref="M989:P989"/>
    <mergeCell ref="Q989:R989"/>
    <mergeCell ref="T989:V989"/>
    <mergeCell ref="Y989:AD989"/>
    <mergeCell ref="AF989:AL989"/>
    <mergeCell ref="A988:C988"/>
    <mergeCell ref="L988:P988"/>
    <mergeCell ref="Q988:R988"/>
    <mergeCell ref="T988:V988"/>
    <mergeCell ref="Y988:AD988"/>
    <mergeCell ref="AF988:AL988"/>
    <mergeCell ref="A987:C987"/>
    <mergeCell ref="K987:P987"/>
    <mergeCell ref="Q987:R987"/>
    <mergeCell ref="T987:V987"/>
    <mergeCell ref="Y987:AD987"/>
    <mergeCell ref="AF987:AL987"/>
    <mergeCell ref="A986:C986"/>
    <mergeCell ref="J986:P986"/>
    <mergeCell ref="Q986:R986"/>
    <mergeCell ref="T986:V986"/>
    <mergeCell ref="Y986:AD986"/>
    <mergeCell ref="AF986:AL986"/>
    <mergeCell ref="A997:C997"/>
    <mergeCell ref="K997:P997"/>
    <mergeCell ref="Q997:R997"/>
    <mergeCell ref="T997:V997"/>
    <mergeCell ref="Y997:AD997"/>
    <mergeCell ref="AF997:AL997"/>
    <mergeCell ref="A996:C996"/>
    <mergeCell ref="J996:P996"/>
    <mergeCell ref="Q996:R996"/>
    <mergeCell ref="T996:V996"/>
    <mergeCell ref="Y996:AD996"/>
    <mergeCell ref="AF996:AL996"/>
    <mergeCell ref="A995:C995"/>
    <mergeCell ref="M995:P995"/>
    <mergeCell ref="Q995:R995"/>
    <mergeCell ref="T995:V995"/>
    <mergeCell ref="Y995:AD995"/>
    <mergeCell ref="AF995:AL995"/>
    <mergeCell ref="A994:C994"/>
    <mergeCell ref="L994:P994"/>
    <mergeCell ref="Q994:R994"/>
    <mergeCell ref="T994:V994"/>
    <mergeCell ref="Y994:AD994"/>
    <mergeCell ref="AF994:AL994"/>
    <mergeCell ref="A993:C993"/>
    <mergeCell ref="K993:P993"/>
    <mergeCell ref="Q993:R993"/>
    <mergeCell ref="T993:V993"/>
    <mergeCell ref="Y993:AD993"/>
    <mergeCell ref="AF993:AL993"/>
    <mergeCell ref="A992:C992"/>
    <mergeCell ref="M992:P992"/>
    <mergeCell ref="Q992:R992"/>
    <mergeCell ref="T992:V992"/>
    <mergeCell ref="Y992:AD992"/>
    <mergeCell ref="AF992:AL992"/>
    <mergeCell ref="A1003:C1003"/>
    <mergeCell ref="K1003:P1003"/>
    <mergeCell ref="Q1003:R1003"/>
    <mergeCell ref="T1003:V1003"/>
    <mergeCell ref="Y1003:AD1003"/>
    <mergeCell ref="AF1003:AL1003"/>
    <mergeCell ref="A1002:C1002"/>
    <mergeCell ref="M1002:P1002"/>
    <mergeCell ref="Q1002:R1002"/>
    <mergeCell ref="T1002:V1002"/>
    <mergeCell ref="Y1002:AD1002"/>
    <mergeCell ref="AF1002:AL1002"/>
    <mergeCell ref="A1001:C1001"/>
    <mergeCell ref="L1001:P1001"/>
    <mergeCell ref="Q1001:R1001"/>
    <mergeCell ref="T1001:V1001"/>
    <mergeCell ref="Y1001:AD1001"/>
    <mergeCell ref="AF1001:AL1001"/>
    <mergeCell ref="A1000:C1000"/>
    <mergeCell ref="K1000:P1000"/>
    <mergeCell ref="Q1000:R1000"/>
    <mergeCell ref="T1000:V1000"/>
    <mergeCell ref="Y1000:AD1000"/>
    <mergeCell ref="AF1000:AL1000"/>
    <mergeCell ref="A999:C999"/>
    <mergeCell ref="M999:P999"/>
    <mergeCell ref="Q999:R999"/>
    <mergeCell ref="T999:V999"/>
    <mergeCell ref="Y999:AD999"/>
    <mergeCell ref="AF999:AL999"/>
    <mergeCell ref="A998:C998"/>
    <mergeCell ref="L998:P998"/>
    <mergeCell ref="Q998:R998"/>
    <mergeCell ref="T998:V998"/>
    <mergeCell ref="Y998:AD998"/>
    <mergeCell ref="AF998:AL998"/>
    <mergeCell ref="A1009:C1009"/>
    <mergeCell ref="K1009:P1009"/>
    <mergeCell ref="Q1009:R1009"/>
    <mergeCell ref="T1009:V1009"/>
    <mergeCell ref="Y1009:AD1009"/>
    <mergeCell ref="AF1009:AL1009"/>
    <mergeCell ref="A1008:C1008"/>
    <mergeCell ref="J1008:P1008"/>
    <mergeCell ref="Q1008:R1008"/>
    <mergeCell ref="T1008:V1008"/>
    <mergeCell ref="Y1008:AD1008"/>
    <mergeCell ref="AF1008:AL1008"/>
    <mergeCell ref="A1007:C1007"/>
    <mergeCell ref="I1007:P1007"/>
    <mergeCell ref="Q1007:R1007"/>
    <mergeCell ref="T1007:V1007"/>
    <mergeCell ref="Y1007:AD1007"/>
    <mergeCell ref="AF1007:AL1007"/>
    <mergeCell ref="A1006:C1006"/>
    <mergeCell ref="H1006:P1006"/>
    <mergeCell ref="Q1006:R1006"/>
    <mergeCell ref="T1006:V1006"/>
    <mergeCell ref="Y1006:AD1006"/>
    <mergeCell ref="AF1006:AL1006"/>
    <mergeCell ref="A1005:C1005"/>
    <mergeCell ref="M1005:P1005"/>
    <mergeCell ref="Q1005:R1005"/>
    <mergeCell ref="T1005:V1005"/>
    <mergeCell ref="Y1005:AD1005"/>
    <mergeCell ref="AF1005:AL1005"/>
    <mergeCell ref="A1004:C1004"/>
    <mergeCell ref="L1004:P1004"/>
    <mergeCell ref="Q1004:R1004"/>
    <mergeCell ref="T1004:V1004"/>
    <mergeCell ref="Y1004:AD1004"/>
    <mergeCell ref="AF1004:AL1004"/>
    <mergeCell ref="A1015:C1015"/>
    <mergeCell ref="M1015:P1015"/>
    <mergeCell ref="Q1015:R1015"/>
    <mergeCell ref="T1015:V1015"/>
    <mergeCell ref="Y1015:AD1015"/>
    <mergeCell ref="AF1015:AL1015"/>
    <mergeCell ref="A1014:C1014"/>
    <mergeCell ref="L1014:P1014"/>
    <mergeCell ref="Q1014:R1014"/>
    <mergeCell ref="T1014:V1014"/>
    <mergeCell ref="Y1014:AD1014"/>
    <mergeCell ref="AF1014:AL1014"/>
    <mergeCell ref="A1013:C1013"/>
    <mergeCell ref="K1013:P1013"/>
    <mergeCell ref="Q1013:R1013"/>
    <mergeCell ref="T1013:V1013"/>
    <mergeCell ref="Y1013:AD1013"/>
    <mergeCell ref="AF1013:AL1013"/>
    <mergeCell ref="A1012:C1012"/>
    <mergeCell ref="J1012:P1012"/>
    <mergeCell ref="Q1012:R1012"/>
    <mergeCell ref="T1012:V1012"/>
    <mergeCell ref="Y1012:AD1012"/>
    <mergeCell ref="AF1012:AL1012"/>
    <mergeCell ref="A1011:C1011"/>
    <mergeCell ref="M1011:P1011"/>
    <mergeCell ref="Q1011:R1011"/>
    <mergeCell ref="T1011:V1011"/>
    <mergeCell ref="Y1011:AD1011"/>
    <mergeCell ref="AF1011:AL1011"/>
    <mergeCell ref="A1010:C1010"/>
    <mergeCell ref="L1010:P1010"/>
    <mergeCell ref="Q1010:R1010"/>
    <mergeCell ref="T1010:V1010"/>
    <mergeCell ref="Y1010:AD1010"/>
    <mergeCell ref="AF1010:AL1010"/>
    <mergeCell ref="A1021:C1021"/>
    <mergeCell ref="J1021:P1021"/>
    <mergeCell ref="Q1021:R1021"/>
    <mergeCell ref="T1021:V1021"/>
    <mergeCell ref="Y1021:AD1021"/>
    <mergeCell ref="AF1021:AL1021"/>
    <mergeCell ref="A1020:C1020"/>
    <mergeCell ref="M1020:P1020"/>
    <mergeCell ref="Q1020:R1020"/>
    <mergeCell ref="T1020:V1020"/>
    <mergeCell ref="Y1020:AD1020"/>
    <mergeCell ref="AF1020:AL1020"/>
    <mergeCell ref="A1019:C1019"/>
    <mergeCell ref="L1019:P1019"/>
    <mergeCell ref="Q1019:R1019"/>
    <mergeCell ref="T1019:V1019"/>
    <mergeCell ref="Y1019:AD1019"/>
    <mergeCell ref="AF1019:AL1019"/>
    <mergeCell ref="A1018:C1018"/>
    <mergeCell ref="K1018:P1018"/>
    <mergeCell ref="Q1018:R1018"/>
    <mergeCell ref="T1018:V1018"/>
    <mergeCell ref="Y1018:AD1018"/>
    <mergeCell ref="AF1018:AL1018"/>
    <mergeCell ref="A1017:C1017"/>
    <mergeCell ref="J1017:P1017"/>
    <mergeCell ref="Q1017:R1017"/>
    <mergeCell ref="T1017:V1017"/>
    <mergeCell ref="Y1017:AD1017"/>
    <mergeCell ref="AF1017:AL1017"/>
    <mergeCell ref="A1016:C1016"/>
    <mergeCell ref="I1016:P1016"/>
    <mergeCell ref="Q1016:R1016"/>
    <mergeCell ref="T1016:V1016"/>
    <mergeCell ref="Y1016:AD1016"/>
    <mergeCell ref="AF1016:AL1016"/>
    <mergeCell ref="A1027:C1027"/>
    <mergeCell ref="H1027:P1027"/>
    <mergeCell ref="Q1027:R1027"/>
    <mergeCell ref="T1027:V1027"/>
    <mergeCell ref="Y1027:AD1027"/>
    <mergeCell ref="AF1027:AL1027"/>
    <mergeCell ref="A1026:C1026"/>
    <mergeCell ref="H1026:P1026"/>
    <mergeCell ref="Q1026:R1026"/>
    <mergeCell ref="T1026:V1026"/>
    <mergeCell ref="Y1026:AD1026"/>
    <mergeCell ref="AF1026:AL1026"/>
    <mergeCell ref="A1025:C1025"/>
    <mergeCell ref="H1025:P1025"/>
    <mergeCell ref="Q1025:R1025"/>
    <mergeCell ref="T1025:V1025"/>
    <mergeCell ref="Y1025:AD1025"/>
    <mergeCell ref="AF1025:AL1025"/>
    <mergeCell ref="A1024:C1024"/>
    <mergeCell ref="M1024:P1024"/>
    <mergeCell ref="Q1024:R1024"/>
    <mergeCell ref="T1024:V1024"/>
    <mergeCell ref="Y1024:AD1024"/>
    <mergeCell ref="AF1024:AL1024"/>
    <mergeCell ref="A1023:C1023"/>
    <mergeCell ref="L1023:P1023"/>
    <mergeCell ref="Q1023:R1023"/>
    <mergeCell ref="T1023:V1023"/>
    <mergeCell ref="Y1023:AD1023"/>
    <mergeCell ref="AF1023:AL1023"/>
    <mergeCell ref="A1022:C1022"/>
    <mergeCell ref="K1022:P1022"/>
    <mergeCell ref="Q1022:R1022"/>
    <mergeCell ref="T1022:V1022"/>
    <mergeCell ref="Y1022:AD1022"/>
    <mergeCell ref="AF1022:AL1022"/>
    <mergeCell ref="A1033:C1033"/>
    <mergeCell ref="M1033:P1033"/>
    <mergeCell ref="Q1033:R1033"/>
    <mergeCell ref="T1033:V1033"/>
    <mergeCell ref="Y1033:AD1033"/>
    <mergeCell ref="AF1033:AL1033"/>
    <mergeCell ref="A1032:C1032"/>
    <mergeCell ref="L1032:P1032"/>
    <mergeCell ref="Q1032:R1032"/>
    <mergeCell ref="T1032:V1032"/>
    <mergeCell ref="Y1032:AD1032"/>
    <mergeCell ref="AF1032:AL1032"/>
    <mergeCell ref="A1031:C1031"/>
    <mergeCell ref="M1031:P1031"/>
    <mergeCell ref="Q1031:R1031"/>
    <mergeCell ref="T1031:V1031"/>
    <mergeCell ref="Y1031:AD1031"/>
    <mergeCell ref="AF1031:AL1031"/>
    <mergeCell ref="A1030:C1030"/>
    <mergeCell ref="K1030:P1030"/>
    <mergeCell ref="Q1030:R1030"/>
    <mergeCell ref="T1030:V1030"/>
    <mergeCell ref="Y1030:AD1030"/>
    <mergeCell ref="AF1030:AL1030"/>
    <mergeCell ref="A1029:C1029"/>
    <mergeCell ref="J1029:P1029"/>
    <mergeCell ref="Q1029:R1029"/>
    <mergeCell ref="T1029:V1029"/>
    <mergeCell ref="Y1029:AD1029"/>
    <mergeCell ref="AF1029:AL1029"/>
    <mergeCell ref="A1028:C1028"/>
    <mergeCell ref="I1028:P1028"/>
    <mergeCell ref="Q1028:R1028"/>
    <mergeCell ref="T1028:V1028"/>
    <mergeCell ref="Y1028:AD1028"/>
    <mergeCell ref="AF1028:AL1028"/>
    <mergeCell ref="A1039:C1039"/>
    <mergeCell ref="M1039:P1039"/>
    <mergeCell ref="Q1039:R1039"/>
    <mergeCell ref="T1039:V1039"/>
    <mergeCell ref="Y1039:AD1039"/>
    <mergeCell ref="AF1039:AL1039"/>
    <mergeCell ref="A1038:C1038"/>
    <mergeCell ref="L1038:P1038"/>
    <mergeCell ref="Q1038:R1038"/>
    <mergeCell ref="T1038:V1038"/>
    <mergeCell ref="Y1038:AD1038"/>
    <mergeCell ref="AF1038:AL1038"/>
    <mergeCell ref="A1037:C1037"/>
    <mergeCell ref="K1037:P1037"/>
    <mergeCell ref="Q1037:R1037"/>
    <mergeCell ref="T1037:V1037"/>
    <mergeCell ref="Y1037:AD1037"/>
    <mergeCell ref="AF1037:AL1037"/>
    <mergeCell ref="A1036:C1036"/>
    <mergeCell ref="J1036:P1036"/>
    <mergeCell ref="Q1036:R1036"/>
    <mergeCell ref="T1036:V1036"/>
    <mergeCell ref="Y1036:AD1036"/>
    <mergeCell ref="AF1036:AL1036"/>
    <mergeCell ref="A1035:C1035"/>
    <mergeCell ref="M1035:P1035"/>
    <mergeCell ref="Q1035:R1035"/>
    <mergeCell ref="T1035:V1035"/>
    <mergeCell ref="Y1035:AD1035"/>
    <mergeCell ref="AF1035:AL1035"/>
    <mergeCell ref="A1034:C1034"/>
    <mergeCell ref="L1034:P1034"/>
    <mergeCell ref="Q1034:R1034"/>
    <mergeCell ref="T1034:V1034"/>
    <mergeCell ref="Y1034:AD1034"/>
    <mergeCell ref="AF1034:AL1034"/>
    <mergeCell ref="A1045:C1045"/>
    <mergeCell ref="L1045:P1045"/>
    <mergeCell ref="Q1045:R1045"/>
    <mergeCell ref="T1045:V1045"/>
    <mergeCell ref="Y1045:AD1045"/>
    <mergeCell ref="AF1045:AL1045"/>
    <mergeCell ref="A1044:C1044"/>
    <mergeCell ref="K1044:P1044"/>
    <mergeCell ref="Q1044:R1044"/>
    <mergeCell ref="T1044:V1044"/>
    <mergeCell ref="Y1044:AD1044"/>
    <mergeCell ref="AF1044:AL1044"/>
    <mergeCell ref="A1043:C1043"/>
    <mergeCell ref="M1043:P1043"/>
    <mergeCell ref="Q1043:R1043"/>
    <mergeCell ref="T1043:V1043"/>
    <mergeCell ref="Y1043:AD1043"/>
    <mergeCell ref="AF1043:AL1043"/>
    <mergeCell ref="A1042:C1042"/>
    <mergeCell ref="L1042:P1042"/>
    <mergeCell ref="Q1042:R1042"/>
    <mergeCell ref="T1042:V1042"/>
    <mergeCell ref="Y1042:AD1042"/>
    <mergeCell ref="AF1042:AL1042"/>
    <mergeCell ref="A1041:C1041"/>
    <mergeCell ref="M1041:P1041"/>
    <mergeCell ref="Q1041:R1041"/>
    <mergeCell ref="T1041:V1041"/>
    <mergeCell ref="Y1041:AD1041"/>
    <mergeCell ref="AF1041:AL1041"/>
    <mergeCell ref="A1040:C1040"/>
    <mergeCell ref="L1040:P1040"/>
    <mergeCell ref="Q1040:R1040"/>
    <mergeCell ref="T1040:V1040"/>
    <mergeCell ref="Y1040:AD1040"/>
    <mergeCell ref="AF1040:AL1040"/>
    <mergeCell ref="A1051:C1051"/>
    <mergeCell ref="K1051:P1051"/>
    <mergeCell ref="Q1051:R1051"/>
    <mergeCell ref="T1051:V1051"/>
    <mergeCell ref="Y1051:AD1051"/>
    <mergeCell ref="AF1051:AL1051"/>
    <mergeCell ref="A1050:C1050"/>
    <mergeCell ref="M1050:P1050"/>
    <mergeCell ref="Q1050:R1050"/>
    <mergeCell ref="T1050:V1050"/>
    <mergeCell ref="Y1050:AD1050"/>
    <mergeCell ref="AF1050:AL1050"/>
    <mergeCell ref="A1049:C1049"/>
    <mergeCell ref="L1049:P1049"/>
    <mergeCell ref="Q1049:R1049"/>
    <mergeCell ref="T1049:V1049"/>
    <mergeCell ref="Y1049:AD1049"/>
    <mergeCell ref="AF1049:AL1049"/>
    <mergeCell ref="A1048:C1048"/>
    <mergeCell ref="M1048:P1048"/>
    <mergeCell ref="Q1048:R1048"/>
    <mergeCell ref="T1048:V1048"/>
    <mergeCell ref="Y1048:AD1048"/>
    <mergeCell ref="AF1048:AL1048"/>
    <mergeCell ref="A1047:C1047"/>
    <mergeCell ref="L1047:P1047"/>
    <mergeCell ref="Q1047:R1047"/>
    <mergeCell ref="T1047:V1047"/>
    <mergeCell ref="Y1047:AD1047"/>
    <mergeCell ref="AF1047:AL1047"/>
    <mergeCell ref="A1046:C1046"/>
    <mergeCell ref="M1046:P1046"/>
    <mergeCell ref="Q1046:R1046"/>
    <mergeCell ref="T1046:V1046"/>
    <mergeCell ref="Y1046:AD1046"/>
    <mergeCell ref="AF1046:AL1046"/>
    <mergeCell ref="A1057:C1057"/>
    <mergeCell ref="L1057:P1057"/>
    <mergeCell ref="Q1057:R1057"/>
    <mergeCell ref="T1057:V1057"/>
    <mergeCell ref="Y1057:AD1057"/>
    <mergeCell ref="AF1057:AL1057"/>
    <mergeCell ref="A1056:C1056"/>
    <mergeCell ref="M1056:P1056"/>
    <mergeCell ref="Q1056:R1056"/>
    <mergeCell ref="T1056:V1056"/>
    <mergeCell ref="Y1056:AD1056"/>
    <mergeCell ref="AF1056:AL1056"/>
    <mergeCell ref="A1055:C1055"/>
    <mergeCell ref="L1055:P1055"/>
    <mergeCell ref="Q1055:R1055"/>
    <mergeCell ref="T1055:V1055"/>
    <mergeCell ref="Y1055:AD1055"/>
    <mergeCell ref="AF1055:AL1055"/>
    <mergeCell ref="A1054:C1054"/>
    <mergeCell ref="K1054:P1054"/>
    <mergeCell ref="Q1054:R1054"/>
    <mergeCell ref="T1054:V1054"/>
    <mergeCell ref="Y1054:AD1054"/>
    <mergeCell ref="AF1054:AL1054"/>
    <mergeCell ref="A1053:C1053"/>
    <mergeCell ref="J1053:P1053"/>
    <mergeCell ref="Q1053:R1053"/>
    <mergeCell ref="T1053:V1053"/>
    <mergeCell ref="Y1053:AD1053"/>
    <mergeCell ref="AF1053:AL1053"/>
    <mergeCell ref="A1052:C1052"/>
    <mergeCell ref="M1052:P1052"/>
    <mergeCell ref="Q1052:R1052"/>
    <mergeCell ref="T1052:V1052"/>
    <mergeCell ref="Y1052:AD1052"/>
    <mergeCell ref="AF1052:AL1052"/>
    <mergeCell ref="A1063:C1063"/>
    <mergeCell ref="M1063:P1063"/>
    <mergeCell ref="Q1063:R1063"/>
    <mergeCell ref="T1063:V1063"/>
    <mergeCell ref="Y1063:AD1063"/>
    <mergeCell ref="AF1063:AL1063"/>
    <mergeCell ref="A1062:C1062"/>
    <mergeCell ref="L1062:P1062"/>
    <mergeCell ref="Q1062:R1062"/>
    <mergeCell ref="T1062:V1062"/>
    <mergeCell ref="Y1062:AD1062"/>
    <mergeCell ref="AF1062:AL1062"/>
    <mergeCell ref="A1061:C1061"/>
    <mergeCell ref="M1061:P1061"/>
    <mergeCell ref="Q1061:R1061"/>
    <mergeCell ref="T1061:V1061"/>
    <mergeCell ref="Y1061:AD1061"/>
    <mergeCell ref="AF1061:AL1061"/>
    <mergeCell ref="A1060:C1060"/>
    <mergeCell ref="L1060:P1060"/>
    <mergeCell ref="Q1060:R1060"/>
    <mergeCell ref="T1060:V1060"/>
    <mergeCell ref="Y1060:AD1060"/>
    <mergeCell ref="AF1060:AL1060"/>
    <mergeCell ref="A1059:C1059"/>
    <mergeCell ref="K1059:P1059"/>
    <mergeCell ref="Q1059:R1059"/>
    <mergeCell ref="T1059:V1059"/>
    <mergeCell ref="Y1059:AD1059"/>
    <mergeCell ref="AF1059:AL1059"/>
    <mergeCell ref="A1058:C1058"/>
    <mergeCell ref="M1058:P1058"/>
    <mergeCell ref="Q1058:R1058"/>
    <mergeCell ref="T1058:V1058"/>
    <mergeCell ref="Y1058:AD1058"/>
    <mergeCell ref="AF1058:AL1058"/>
    <mergeCell ref="A1069:C1069"/>
    <mergeCell ref="I1069:P1069"/>
    <mergeCell ref="Q1069:R1069"/>
    <mergeCell ref="T1069:V1069"/>
    <mergeCell ref="Y1069:AD1069"/>
    <mergeCell ref="AF1069:AL1069"/>
    <mergeCell ref="A1068:C1068"/>
    <mergeCell ref="M1068:P1068"/>
    <mergeCell ref="Q1068:R1068"/>
    <mergeCell ref="T1068:V1068"/>
    <mergeCell ref="Y1068:AD1068"/>
    <mergeCell ref="AF1068:AL1068"/>
    <mergeCell ref="A1067:C1067"/>
    <mergeCell ref="L1067:P1067"/>
    <mergeCell ref="Q1067:R1067"/>
    <mergeCell ref="T1067:V1067"/>
    <mergeCell ref="Y1067:AD1067"/>
    <mergeCell ref="AF1067:AL1067"/>
    <mergeCell ref="A1066:C1066"/>
    <mergeCell ref="K1066:P1066"/>
    <mergeCell ref="Q1066:R1066"/>
    <mergeCell ref="T1066:V1066"/>
    <mergeCell ref="Y1066:AD1066"/>
    <mergeCell ref="AF1066:AL1066"/>
    <mergeCell ref="A1065:C1065"/>
    <mergeCell ref="M1065:P1065"/>
    <mergeCell ref="Q1065:R1065"/>
    <mergeCell ref="T1065:V1065"/>
    <mergeCell ref="Y1065:AD1065"/>
    <mergeCell ref="AF1065:AL1065"/>
    <mergeCell ref="A1064:C1064"/>
    <mergeCell ref="L1064:P1064"/>
    <mergeCell ref="Q1064:R1064"/>
    <mergeCell ref="T1064:V1064"/>
    <mergeCell ref="Y1064:AD1064"/>
    <mergeCell ref="AF1064:AL1064"/>
    <mergeCell ref="A1075:C1075"/>
    <mergeCell ref="L1075:P1075"/>
    <mergeCell ref="Q1075:R1075"/>
    <mergeCell ref="T1075:V1075"/>
    <mergeCell ref="Y1075:AD1075"/>
    <mergeCell ref="AF1075:AL1075"/>
    <mergeCell ref="A1074:C1074"/>
    <mergeCell ref="K1074:P1074"/>
    <mergeCell ref="Q1074:R1074"/>
    <mergeCell ref="T1074:V1074"/>
    <mergeCell ref="Y1074:AD1074"/>
    <mergeCell ref="AF1074:AL1074"/>
    <mergeCell ref="A1073:C1073"/>
    <mergeCell ref="M1073:P1073"/>
    <mergeCell ref="Q1073:R1073"/>
    <mergeCell ref="T1073:V1073"/>
    <mergeCell ref="Y1073:AD1073"/>
    <mergeCell ref="AF1073:AL1073"/>
    <mergeCell ref="A1072:C1072"/>
    <mergeCell ref="L1072:P1072"/>
    <mergeCell ref="Q1072:R1072"/>
    <mergeCell ref="T1072:V1072"/>
    <mergeCell ref="Y1072:AD1072"/>
    <mergeCell ref="AF1072:AL1072"/>
    <mergeCell ref="A1071:C1071"/>
    <mergeCell ref="K1071:P1071"/>
    <mergeCell ref="Q1071:R1071"/>
    <mergeCell ref="T1071:V1071"/>
    <mergeCell ref="Y1071:AD1071"/>
    <mergeCell ref="AF1071:AL1071"/>
    <mergeCell ref="A1070:C1070"/>
    <mergeCell ref="J1070:P1070"/>
    <mergeCell ref="Q1070:R1070"/>
    <mergeCell ref="T1070:V1070"/>
    <mergeCell ref="Y1070:AD1070"/>
    <mergeCell ref="AF1070:AL1070"/>
    <mergeCell ref="A1081:C1081"/>
    <mergeCell ref="J1081:P1081"/>
    <mergeCell ref="Q1081:R1081"/>
    <mergeCell ref="T1081:V1081"/>
    <mergeCell ref="Y1081:AD1081"/>
    <mergeCell ref="AF1081:AL1081"/>
    <mergeCell ref="A1080:C1080"/>
    <mergeCell ref="M1080:P1080"/>
    <mergeCell ref="Q1080:R1080"/>
    <mergeCell ref="T1080:V1080"/>
    <mergeCell ref="Y1080:AD1080"/>
    <mergeCell ref="AF1080:AL1080"/>
    <mergeCell ref="A1079:C1079"/>
    <mergeCell ref="L1079:P1079"/>
    <mergeCell ref="Q1079:R1079"/>
    <mergeCell ref="T1079:V1079"/>
    <mergeCell ref="Y1079:AD1079"/>
    <mergeCell ref="AF1079:AL1079"/>
    <mergeCell ref="A1078:C1078"/>
    <mergeCell ref="M1078:P1078"/>
    <mergeCell ref="Q1078:R1078"/>
    <mergeCell ref="T1078:V1078"/>
    <mergeCell ref="Y1078:AD1078"/>
    <mergeCell ref="AF1078:AL1078"/>
    <mergeCell ref="A1077:C1077"/>
    <mergeCell ref="M1077:P1077"/>
    <mergeCell ref="Q1077:R1077"/>
    <mergeCell ref="T1077:V1077"/>
    <mergeCell ref="Y1077:AD1077"/>
    <mergeCell ref="AF1077:AL1077"/>
    <mergeCell ref="A1076:C1076"/>
    <mergeCell ref="M1076:P1076"/>
    <mergeCell ref="Q1076:R1076"/>
    <mergeCell ref="T1076:V1076"/>
    <mergeCell ref="Y1076:AD1076"/>
    <mergeCell ref="AF1076:AL1076"/>
    <mergeCell ref="A1087:C1087"/>
    <mergeCell ref="K1087:P1087"/>
    <mergeCell ref="Q1087:R1087"/>
    <mergeCell ref="T1087:V1087"/>
    <mergeCell ref="Y1087:AD1087"/>
    <mergeCell ref="AF1087:AL1087"/>
    <mergeCell ref="A1086:C1086"/>
    <mergeCell ref="M1086:P1086"/>
    <mergeCell ref="Q1086:R1086"/>
    <mergeCell ref="T1086:V1086"/>
    <mergeCell ref="Y1086:AD1086"/>
    <mergeCell ref="AF1086:AL1086"/>
    <mergeCell ref="A1085:C1085"/>
    <mergeCell ref="L1085:P1085"/>
    <mergeCell ref="Q1085:R1085"/>
    <mergeCell ref="T1085:V1085"/>
    <mergeCell ref="Y1085:AD1085"/>
    <mergeCell ref="AF1085:AL1085"/>
    <mergeCell ref="A1084:C1084"/>
    <mergeCell ref="M1084:P1084"/>
    <mergeCell ref="Q1084:R1084"/>
    <mergeCell ref="T1084:V1084"/>
    <mergeCell ref="Y1084:AD1084"/>
    <mergeCell ref="AF1084:AL1084"/>
    <mergeCell ref="A1083:C1083"/>
    <mergeCell ref="L1083:P1083"/>
    <mergeCell ref="Q1083:R1083"/>
    <mergeCell ref="T1083:V1083"/>
    <mergeCell ref="Y1083:AD1083"/>
    <mergeCell ref="AF1083:AL1083"/>
    <mergeCell ref="A1082:C1082"/>
    <mergeCell ref="K1082:P1082"/>
    <mergeCell ref="Q1082:R1082"/>
    <mergeCell ref="T1082:V1082"/>
    <mergeCell ref="Y1082:AD1082"/>
    <mergeCell ref="AF1082:AL1082"/>
    <mergeCell ref="A1093:C1093"/>
    <mergeCell ref="L1093:P1093"/>
    <mergeCell ref="Q1093:R1093"/>
    <mergeCell ref="T1093:V1093"/>
    <mergeCell ref="Y1093:AD1093"/>
    <mergeCell ref="AF1093:AL1093"/>
    <mergeCell ref="A1092:C1092"/>
    <mergeCell ref="K1092:P1092"/>
    <mergeCell ref="Q1092:R1092"/>
    <mergeCell ref="T1092:V1092"/>
    <mergeCell ref="Y1092:AD1092"/>
    <mergeCell ref="AF1092:AL1092"/>
    <mergeCell ref="A1091:C1091"/>
    <mergeCell ref="M1091:P1091"/>
    <mergeCell ref="Q1091:R1091"/>
    <mergeCell ref="T1091:V1091"/>
    <mergeCell ref="Y1091:AD1091"/>
    <mergeCell ref="AF1091:AL1091"/>
    <mergeCell ref="A1090:C1090"/>
    <mergeCell ref="L1090:P1090"/>
    <mergeCell ref="Q1090:R1090"/>
    <mergeCell ref="T1090:V1090"/>
    <mergeCell ref="Y1090:AD1090"/>
    <mergeCell ref="AF1090:AL1090"/>
    <mergeCell ref="A1089:C1089"/>
    <mergeCell ref="M1089:P1089"/>
    <mergeCell ref="Q1089:R1089"/>
    <mergeCell ref="T1089:V1089"/>
    <mergeCell ref="Y1089:AD1089"/>
    <mergeCell ref="AF1089:AL1089"/>
    <mergeCell ref="A1088:C1088"/>
    <mergeCell ref="L1088:P1088"/>
    <mergeCell ref="Q1088:R1088"/>
    <mergeCell ref="T1088:V1088"/>
    <mergeCell ref="Y1088:AD1088"/>
    <mergeCell ref="AF1088:AL1088"/>
    <mergeCell ref="A1099:C1099"/>
    <mergeCell ref="L1099:P1099"/>
    <mergeCell ref="Q1099:R1099"/>
    <mergeCell ref="T1099:V1099"/>
    <mergeCell ref="Y1099:AD1099"/>
    <mergeCell ref="AF1099:AL1099"/>
    <mergeCell ref="A1098:C1098"/>
    <mergeCell ref="K1098:P1098"/>
    <mergeCell ref="Q1098:R1098"/>
    <mergeCell ref="T1098:V1098"/>
    <mergeCell ref="Y1098:AD1098"/>
    <mergeCell ref="AF1098:AL1098"/>
    <mergeCell ref="A1097:C1097"/>
    <mergeCell ref="J1097:P1097"/>
    <mergeCell ref="Q1097:R1097"/>
    <mergeCell ref="T1097:V1097"/>
    <mergeCell ref="Y1097:AD1097"/>
    <mergeCell ref="AF1097:AL1097"/>
    <mergeCell ref="A1096:C1096"/>
    <mergeCell ref="I1096:P1096"/>
    <mergeCell ref="Q1096:R1096"/>
    <mergeCell ref="T1096:V1096"/>
    <mergeCell ref="Y1096:AD1096"/>
    <mergeCell ref="AF1096:AL1096"/>
    <mergeCell ref="A1095:C1095"/>
    <mergeCell ref="H1095:P1095"/>
    <mergeCell ref="Q1095:R1095"/>
    <mergeCell ref="T1095:V1095"/>
    <mergeCell ref="Y1095:AD1095"/>
    <mergeCell ref="AF1095:AL1095"/>
    <mergeCell ref="A1094:C1094"/>
    <mergeCell ref="M1094:P1094"/>
    <mergeCell ref="Q1094:R1094"/>
    <mergeCell ref="T1094:V1094"/>
    <mergeCell ref="Y1094:AD1094"/>
    <mergeCell ref="AF1094:AL1094"/>
    <mergeCell ref="A1105:C1105"/>
    <mergeCell ref="K1105:P1105"/>
    <mergeCell ref="Q1105:R1105"/>
    <mergeCell ref="T1105:V1105"/>
    <mergeCell ref="Y1105:AD1105"/>
    <mergeCell ref="AF1105:AL1105"/>
    <mergeCell ref="A1104:C1104"/>
    <mergeCell ref="M1104:P1104"/>
    <mergeCell ref="Q1104:R1104"/>
    <mergeCell ref="T1104:V1104"/>
    <mergeCell ref="Y1104:AD1104"/>
    <mergeCell ref="AF1104:AL1104"/>
    <mergeCell ref="A1103:C1103"/>
    <mergeCell ref="L1103:P1103"/>
    <mergeCell ref="Q1103:R1103"/>
    <mergeCell ref="T1103:V1103"/>
    <mergeCell ref="Y1103:AD1103"/>
    <mergeCell ref="AF1103:AL1103"/>
    <mergeCell ref="A1102:C1102"/>
    <mergeCell ref="M1102:P1102"/>
    <mergeCell ref="Q1102:R1102"/>
    <mergeCell ref="T1102:V1102"/>
    <mergeCell ref="Y1102:AD1102"/>
    <mergeCell ref="AF1102:AL1102"/>
    <mergeCell ref="A1101:C1101"/>
    <mergeCell ref="L1101:P1101"/>
    <mergeCell ref="Q1101:R1101"/>
    <mergeCell ref="T1101:V1101"/>
    <mergeCell ref="Y1101:AD1101"/>
    <mergeCell ref="AF1101:AL1101"/>
    <mergeCell ref="A1100:C1100"/>
    <mergeCell ref="M1100:P1100"/>
    <mergeCell ref="Q1100:R1100"/>
    <mergeCell ref="T1100:V1100"/>
    <mergeCell ref="Y1100:AD1100"/>
    <mergeCell ref="AF1100:AL1100"/>
    <mergeCell ref="A1111:C1111"/>
    <mergeCell ref="M1111:P1111"/>
    <mergeCell ref="Q1111:R1111"/>
    <mergeCell ref="T1111:V1111"/>
    <mergeCell ref="Y1111:AD1111"/>
    <mergeCell ref="AF1111:AL1111"/>
    <mergeCell ref="A1110:C1110"/>
    <mergeCell ref="L1110:P1110"/>
    <mergeCell ref="Q1110:R1110"/>
    <mergeCell ref="T1110:V1110"/>
    <mergeCell ref="Y1110:AD1110"/>
    <mergeCell ref="AF1110:AL1110"/>
    <mergeCell ref="A1109:C1109"/>
    <mergeCell ref="M1109:P1109"/>
    <mergeCell ref="Q1109:R1109"/>
    <mergeCell ref="T1109:V1109"/>
    <mergeCell ref="Y1109:AD1109"/>
    <mergeCell ref="AF1109:AL1109"/>
    <mergeCell ref="A1108:C1108"/>
    <mergeCell ref="L1108:P1108"/>
    <mergeCell ref="Q1108:R1108"/>
    <mergeCell ref="T1108:V1108"/>
    <mergeCell ref="Y1108:AD1108"/>
    <mergeCell ref="AF1108:AL1108"/>
    <mergeCell ref="A1107:C1107"/>
    <mergeCell ref="M1107:P1107"/>
    <mergeCell ref="Q1107:R1107"/>
    <mergeCell ref="T1107:V1107"/>
    <mergeCell ref="Y1107:AD1107"/>
    <mergeCell ref="AF1107:AL1107"/>
    <mergeCell ref="A1106:C1106"/>
    <mergeCell ref="L1106:P1106"/>
    <mergeCell ref="Q1106:R1106"/>
    <mergeCell ref="T1106:V1106"/>
    <mergeCell ref="Y1106:AD1106"/>
    <mergeCell ref="AF1106:AL1106"/>
    <mergeCell ref="A1117:C1117"/>
    <mergeCell ref="M1117:P1117"/>
    <mergeCell ref="Q1117:R1117"/>
    <mergeCell ref="T1117:V1117"/>
    <mergeCell ref="Y1117:AD1117"/>
    <mergeCell ref="AF1117:AL1117"/>
    <mergeCell ref="A1116:C1116"/>
    <mergeCell ref="M1116:P1116"/>
    <mergeCell ref="Q1116:R1116"/>
    <mergeCell ref="T1116:V1116"/>
    <mergeCell ref="Y1116:AD1116"/>
    <mergeCell ref="AF1116:AL1116"/>
    <mergeCell ref="A1115:C1115"/>
    <mergeCell ref="M1115:P1115"/>
    <mergeCell ref="Q1115:R1115"/>
    <mergeCell ref="T1115:V1115"/>
    <mergeCell ref="Y1115:AD1115"/>
    <mergeCell ref="AF1115:AL1115"/>
    <mergeCell ref="A1114:C1114"/>
    <mergeCell ref="L1114:P1114"/>
    <mergeCell ref="Q1114:R1114"/>
    <mergeCell ref="T1114:V1114"/>
    <mergeCell ref="Y1114:AD1114"/>
    <mergeCell ref="AF1114:AL1114"/>
    <mergeCell ref="A1113:C1113"/>
    <mergeCell ref="K1113:P1113"/>
    <mergeCell ref="Q1113:R1113"/>
    <mergeCell ref="T1113:V1113"/>
    <mergeCell ref="Y1113:AD1113"/>
    <mergeCell ref="AF1113:AL1113"/>
    <mergeCell ref="A1112:C1112"/>
    <mergeCell ref="J1112:P1112"/>
    <mergeCell ref="Q1112:R1112"/>
    <mergeCell ref="T1112:V1112"/>
    <mergeCell ref="Y1112:AD1112"/>
    <mergeCell ref="AF1112:AL1112"/>
    <mergeCell ref="A1123:C1123"/>
    <mergeCell ref="M1123:P1123"/>
    <mergeCell ref="Q1123:R1123"/>
    <mergeCell ref="T1123:V1123"/>
    <mergeCell ref="Y1123:AD1123"/>
    <mergeCell ref="AF1123:AL1123"/>
    <mergeCell ref="A1122:C1122"/>
    <mergeCell ref="M1122:P1122"/>
    <mergeCell ref="Q1122:R1122"/>
    <mergeCell ref="T1122:V1122"/>
    <mergeCell ref="Y1122:AD1122"/>
    <mergeCell ref="AF1122:AL1122"/>
    <mergeCell ref="A1121:C1121"/>
    <mergeCell ref="M1121:P1121"/>
    <mergeCell ref="Q1121:R1121"/>
    <mergeCell ref="T1121:V1121"/>
    <mergeCell ref="Y1121:AD1121"/>
    <mergeCell ref="AF1121:AL1121"/>
    <mergeCell ref="A1120:C1120"/>
    <mergeCell ref="M1120:P1120"/>
    <mergeCell ref="Q1120:R1120"/>
    <mergeCell ref="T1120:V1120"/>
    <mergeCell ref="Y1120:AD1120"/>
    <mergeCell ref="AF1120:AL1120"/>
    <mergeCell ref="A1119:C1119"/>
    <mergeCell ref="M1119:P1119"/>
    <mergeCell ref="Q1119:R1119"/>
    <mergeCell ref="T1119:V1119"/>
    <mergeCell ref="Y1119:AD1119"/>
    <mergeCell ref="AF1119:AL1119"/>
    <mergeCell ref="A1118:C1118"/>
    <mergeCell ref="M1118:P1118"/>
    <mergeCell ref="Q1118:R1118"/>
    <mergeCell ref="T1118:V1118"/>
    <mergeCell ref="Y1118:AD1118"/>
    <mergeCell ref="AF1118:AL1118"/>
    <mergeCell ref="A1129:C1129"/>
    <mergeCell ref="M1129:P1129"/>
    <mergeCell ref="Q1129:R1129"/>
    <mergeCell ref="T1129:V1129"/>
    <mergeCell ref="Y1129:AD1129"/>
    <mergeCell ref="AF1129:AL1129"/>
    <mergeCell ref="A1128:C1128"/>
    <mergeCell ref="M1128:P1128"/>
    <mergeCell ref="Q1128:R1128"/>
    <mergeCell ref="T1128:V1128"/>
    <mergeCell ref="Y1128:AD1128"/>
    <mergeCell ref="AF1128:AL1128"/>
    <mergeCell ref="A1127:C1127"/>
    <mergeCell ref="L1127:P1127"/>
    <mergeCell ref="Q1127:R1127"/>
    <mergeCell ref="T1127:V1127"/>
    <mergeCell ref="Y1127:AD1127"/>
    <mergeCell ref="AF1127:AL1127"/>
    <mergeCell ref="A1126:C1126"/>
    <mergeCell ref="M1126:P1126"/>
    <mergeCell ref="Q1126:R1126"/>
    <mergeCell ref="T1126:V1126"/>
    <mergeCell ref="Y1126:AD1126"/>
    <mergeCell ref="AF1126:AL1126"/>
    <mergeCell ref="A1125:C1125"/>
    <mergeCell ref="L1125:P1125"/>
    <mergeCell ref="Q1125:R1125"/>
    <mergeCell ref="T1125:V1125"/>
    <mergeCell ref="Y1125:AD1125"/>
    <mergeCell ref="AF1125:AL1125"/>
    <mergeCell ref="A1124:C1124"/>
    <mergeCell ref="M1124:P1124"/>
    <mergeCell ref="Q1124:R1124"/>
    <mergeCell ref="T1124:V1124"/>
    <mergeCell ref="Y1124:AD1124"/>
    <mergeCell ref="AF1124:AL1124"/>
    <mergeCell ref="A1135:C1135"/>
    <mergeCell ref="M1135:P1135"/>
    <mergeCell ref="Q1135:R1135"/>
    <mergeCell ref="T1135:V1135"/>
    <mergeCell ref="Y1135:AD1135"/>
    <mergeCell ref="AF1135:AL1135"/>
    <mergeCell ref="A1134:C1134"/>
    <mergeCell ref="M1134:P1134"/>
    <mergeCell ref="Q1134:R1134"/>
    <mergeCell ref="T1134:V1134"/>
    <mergeCell ref="Y1134:AD1134"/>
    <mergeCell ref="AF1134:AL1134"/>
    <mergeCell ref="A1133:C1133"/>
    <mergeCell ref="M1133:P1133"/>
    <mergeCell ref="Q1133:R1133"/>
    <mergeCell ref="T1133:V1133"/>
    <mergeCell ref="Y1133:AD1133"/>
    <mergeCell ref="AF1133:AL1133"/>
    <mergeCell ref="A1132:C1132"/>
    <mergeCell ref="M1132:P1132"/>
    <mergeCell ref="Q1132:R1132"/>
    <mergeCell ref="T1132:V1132"/>
    <mergeCell ref="Y1132:AD1132"/>
    <mergeCell ref="AF1132:AL1132"/>
    <mergeCell ref="A1131:C1131"/>
    <mergeCell ref="M1131:P1131"/>
    <mergeCell ref="Q1131:R1131"/>
    <mergeCell ref="T1131:V1131"/>
    <mergeCell ref="Y1131:AD1131"/>
    <mergeCell ref="AF1131:AL1131"/>
    <mergeCell ref="A1130:C1130"/>
    <mergeCell ref="M1130:P1130"/>
    <mergeCell ref="Q1130:R1130"/>
    <mergeCell ref="T1130:V1130"/>
    <mergeCell ref="Y1130:AD1130"/>
    <mergeCell ref="AF1130:AL1130"/>
    <mergeCell ref="A1141:C1141"/>
    <mergeCell ref="M1141:P1141"/>
    <mergeCell ref="Q1141:R1141"/>
    <mergeCell ref="T1141:V1141"/>
    <mergeCell ref="Y1141:AD1141"/>
    <mergeCell ref="AF1141:AL1141"/>
    <mergeCell ref="A1140:C1140"/>
    <mergeCell ref="M1140:P1140"/>
    <mergeCell ref="Q1140:R1140"/>
    <mergeCell ref="T1140:V1140"/>
    <mergeCell ref="Y1140:AD1140"/>
    <mergeCell ref="AF1140:AL1140"/>
    <mergeCell ref="A1139:C1139"/>
    <mergeCell ref="L1139:P1139"/>
    <mergeCell ref="Q1139:R1139"/>
    <mergeCell ref="T1139:V1139"/>
    <mergeCell ref="Y1139:AD1139"/>
    <mergeCell ref="AF1139:AL1139"/>
    <mergeCell ref="A1138:C1138"/>
    <mergeCell ref="K1138:P1138"/>
    <mergeCell ref="Q1138:R1138"/>
    <mergeCell ref="T1138:V1138"/>
    <mergeCell ref="Y1138:AD1138"/>
    <mergeCell ref="AF1138:AL1138"/>
    <mergeCell ref="A1137:C1137"/>
    <mergeCell ref="M1137:P1137"/>
    <mergeCell ref="Q1137:R1137"/>
    <mergeCell ref="T1137:V1137"/>
    <mergeCell ref="Y1137:AD1137"/>
    <mergeCell ref="AF1137:AL1137"/>
    <mergeCell ref="A1136:C1136"/>
    <mergeCell ref="M1136:P1136"/>
    <mergeCell ref="Q1136:R1136"/>
    <mergeCell ref="T1136:V1136"/>
    <mergeCell ref="Y1136:AD1136"/>
    <mergeCell ref="AF1136:AL1136"/>
    <mergeCell ref="A1147:C1147"/>
    <mergeCell ref="K1147:P1147"/>
    <mergeCell ref="Q1147:R1147"/>
    <mergeCell ref="T1147:V1147"/>
    <mergeCell ref="Y1147:AD1147"/>
    <mergeCell ref="AF1147:AL1147"/>
    <mergeCell ref="A1146:C1146"/>
    <mergeCell ref="M1146:P1146"/>
    <mergeCell ref="Q1146:R1146"/>
    <mergeCell ref="T1146:V1146"/>
    <mergeCell ref="Y1146:AD1146"/>
    <mergeCell ref="AF1146:AL1146"/>
    <mergeCell ref="A1145:C1145"/>
    <mergeCell ref="M1145:P1145"/>
    <mergeCell ref="Q1145:R1145"/>
    <mergeCell ref="T1145:V1145"/>
    <mergeCell ref="Y1145:AD1145"/>
    <mergeCell ref="AF1145:AL1145"/>
    <mergeCell ref="A1144:C1144"/>
    <mergeCell ref="L1144:P1144"/>
    <mergeCell ref="Q1144:R1144"/>
    <mergeCell ref="T1144:V1144"/>
    <mergeCell ref="Y1144:AD1144"/>
    <mergeCell ref="AF1144:AL1144"/>
    <mergeCell ref="A1143:C1143"/>
    <mergeCell ref="M1143:P1143"/>
    <mergeCell ref="Q1143:R1143"/>
    <mergeCell ref="T1143:V1143"/>
    <mergeCell ref="Y1143:AD1143"/>
    <mergeCell ref="AF1143:AL1143"/>
    <mergeCell ref="A1142:C1142"/>
    <mergeCell ref="L1142:P1142"/>
    <mergeCell ref="Q1142:R1142"/>
    <mergeCell ref="T1142:V1142"/>
    <mergeCell ref="Y1142:AD1142"/>
    <mergeCell ref="AF1142:AL1142"/>
    <mergeCell ref="A1153:C1153"/>
    <mergeCell ref="M1153:P1153"/>
    <mergeCell ref="Q1153:R1153"/>
    <mergeCell ref="T1153:V1153"/>
    <mergeCell ref="Y1153:AD1153"/>
    <mergeCell ref="AF1153:AL1153"/>
    <mergeCell ref="A1152:C1152"/>
    <mergeCell ref="L1152:P1152"/>
    <mergeCell ref="Q1152:R1152"/>
    <mergeCell ref="T1152:V1152"/>
    <mergeCell ref="Y1152:AD1152"/>
    <mergeCell ref="AF1152:AL1152"/>
    <mergeCell ref="A1151:C1151"/>
    <mergeCell ref="M1151:P1151"/>
    <mergeCell ref="Q1151:R1151"/>
    <mergeCell ref="T1151:V1151"/>
    <mergeCell ref="Y1151:AD1151"/>
    <mergeCell ref="AF1151:AL1151"/>
    <mergeCell ref="A1150:C1150"/>
    <mergeCell ref="L1150:P1150"/>
    <mergeCell ref="Q1150:R1150"/>
    <mergeCell ref="T1150:V1150"/>
    <mergeCell ref="Y1150:AD1150"/>
    <mergeCell ref="AF1150:AL1150"/>
    <mergeCell ref="A1149:C1149"/>
    <mergeCell ref="M1149:P1149"/>
    <mergeCell ref="Q1149:R1149"/>
    <mergeCell ref="T1149:V1149"/>
    <mergeCell ref="Y1149:AD1149"/>
    <mergeCell ref="AF1149:AL1149"/>
    <mergeCell ref="A1148:C1148"/>
    <mergeCell ref="L1148:P1148"/>
    <mergeCell ref="Q1148:R1148"/>
    <mergeCell ref="T1148:V1148"/>
    <mergeCell ref="Y1148:AD1148"/>
    <mergeCell ref="AF1148:AL1148"/>
    <mergeCell ref="A1159:C1159"/>
    <mergeCell ref="L1159:P1159"/>
    <mergeCell ref="Q1159:R1159"/>
    <mergeCell ref="T1159:V1159"/>
    <mergeCell ref="Y1159:AD1159"/>
    <mergeCell ref="AF1159:AL1159"/>
    <mergeCell ref="A1158:C1158"/>
    <mergeCell ref="M1158:P1158"/>
    <mergeCell ref="Q1158:R1158"/>
    <mergeCell ref="T1158:V1158"/>
    <mergeCell ref="Y1158:AD1158"/>
    <mergeCell ref="AF1158:AL1158"/>
    <mergeCell ref="A1157:C1157"/>
    <mergeCell ref="L1157:P1157"/>
    <mergeCell ref="Q1157:R1157"/>
    <mergeCell ref="T1157:V1157"/>
    <mergeCell ref="Y1157:AD1157"/>
    <mergeCell ref="AF1157:AL1157"/>
    <mergeCell ref="A1156:C1156"/>
    <mergeCell ref="M1156:P1156"/>
    <mergeCell ref="Q1156:R1156"/>
    <mergeCell ref="T1156:V1156"/>
    <mergeCell ref="Y1156:AD1156"/>
    <mergeCell ref="AF1156:AL1156"/>
    <mergeCell ref="A1155:C1155"/>
    <mergeCell ref="L1155:P1155"/>
    <mergeCell ref="Q1155:R1155"/>
    <mergeCell ref="T1155:V1155"/>
    <mergeCell ref="Y1155:AD1155"/>
    <mergeCell ref="AF1155:AL1155"/>
    <mergeCell ref="A1154:C1154"/>
    <mergeCell ref="K1154:P1154"/>
    <mergeCell ref="Q1154:R1154"/>
    <mergeCell ref="T1154:V1154"/>
    <mergeCell ref="Y1154:AD1154"/>
    <mergeCell ref="AF1154:AL1154"/>
    <mergeCell ref="A1165:C1165"/>
    <mergeCell ref="M1165:P1165"/>
    <mergeCell ref="Q1165:R1165"/>
    <mergeCell ref="T1165:V1165"/>
    <mergeCell ref="Y1165:AD1165"/>
    <mergeCell ref="AF1165:AL1165"/>
    <mergeCell ref="A1164:C1164"/>
    <mergeCell ref="M1164:P1164"/>
    <mergeCell ref="Q1164:R1164"/>
    <mergeCell ref="T1164:V1164"/>
    <mergeCell ref="Y1164:AD1164"/>
    <mergeCell ref="AF1164:AL1164"/>
    <mergeCell ref="A1163:C1163"/>
    <mergeCell ref="M1163:P1163"/>
    <mergeCell ref="Q1163:R1163"/>
    <mergeCell ref="T1163:V1163"/>
    <mergeCell ref="Y1163:AD1163"/>
    <mergeCell ref="AF1163:AL1163"/>
    <mergeCell ref="A1162:C1162"/>
    <mergeCell ref="L1162:P1162"/>
    <mergeCell ref="Q1162:R1162"/>
    <mergeCell ref="T1162:V1162"/>
    <mergeCell ref="Y1162:AD1162"/>
    <mergeCell ref="AF1162:AL1162"/>
    <mergeCell ref="A1161:C1161"/>
    <mergeCell ref="K1161:P1161"/>
    <mergeCell ref="Q1161:R1161"/>
    <mergeCell ref="T1161:V1161"/>
    <mergeCell ref="Y1161:AD1161"/>
    <mergeCell ref="AF1161:AL1161"/>
    <mergeCell ref="A1160:C1160"/>
    <mergeCell ref="M1160:P1160"/>
    <mergeCell ref="Q1160:R1160"/>
    <mergeCell ref="T1160:V1160"/>
    <mergeCell ref="Y1160:AD1160"/>
    <mergeCell ref="AF1160:AL1160"/>
    <mergeCell ref="A1171:C1171"/>
    <mergeCell ref="M1171:P1171"/>
    <mergeCell ref="Q1171:R1171"/>
    <mergeCell ref="T1171:V1171"/>
    <mergeCell ref="Y1171:AD1171"/>
    <mergeCell ref="AF1171:AL1171"/>
    <mergeCell ref="A1170:C1170"/>
    <mergeCell ref="M1170:P1170"/>
    <mergeCell ref="Q1170:R1170"/>
    <mergeCell ref="T1170:V1170"/>
    <mergeCell ref="Y1170:AD1170"/>
    <mergeCell ref="AF1170:AL1170"/>
    <mergeCell ref="A1169:C1169"/>
    <mergeCell ref="L1169:P1169"/>
    <mergeCell ref="Q1169:R1169"/>
    <mergeCell ref="T1169:V1169"/>
    <mergeCell ref="Y1169:AD1169"/>
    <mergeCell ref="AF1169:AL1169"/>
    <mergeCell ref="A1168:C1168"/>
    <mergeCell ref="M1168:P1168"/>
    <mergeCell ref="Q1168:R1168"/>
    <mergeCell ref="T1168:V1168"/>
    <mergeCell ref="Y1168:AD1168"/>
    <mergeCell ref="AF1168:AL1168"/>
    <mergeCell ref="A1167:C1167"/>
    <mergeCell ref="L1167:P1167"/>
    <mergeCell ref="Q1167:R1167"/>
    <mergeCell ref="T1167:V1167"/>
    <mergeCell ref="Y1167:AD1167"/>
    <mergeCell ref="AF1167:AL1167"/>
    <mergeCell ref="A1166:C1166"/>
    <mergeCell ref="M1166:P1166"/>
    <mergeCell ref="Q1166:R1166"/>
    <mergeCell ref="T1166:V1166"/>
    <mergeCell ref="Y1166:AD1166"/>
    <mergeCell ref="AF1166:AL1166"/>
    <mergeCell ref="A1177:C1177"/>
    <mergeCell ref="M1177:P1177"/>
    <mergeCell ref="Q1177:R1177"/>
    <mergeCell ref="T1177:V1177"/>
    <mergeCell ref="Y1177:AD1177"/>
    <mergeCell ref="AF1177:AL1177"/>
    <mergeCell ref="A1176:C1176"/>
    <mergeCell ref="L1176:P1176"/>
    <mergeCell ref="Q1176:R1176"/>
    <mergeCell ref="T1176:V1176"/>
    <mergeCell ref="Y1176:AD1176"/>
    <mergeCell ref="AF1176:AL1176"/>
    <mergeCell ref="A1175:C1175"/>
    <mergeCell ref="K1175:P1175"/>
    <mergeCell ref="Q1175:R1175"/>
    <mergeCell ref="T1175:V1175"/>
    <mergeCell ref="Y1175:AD1175"/>
    <mergeCell ref="AF1175:AL1175"/>
    <mergeCell ref="A1174:C1174"/>
    <mergeCell ref="M1174:P1174"/>
    <mergeCell ref="Q1174:R1174"/>
    <mergeCell ref="T1174:V1174"/>
    <mergeCell ref="Y1174:AD1174"/>
    <mergeCell ref="AF1174:AL1174"/>
    <mergeCell ref="A1173:C1173"/>
    <mergeCell ref="M1173:P1173"/>
    <mergeCell ref="Q1173:R1173"/>
    <mergeCell ref="T1173:V1173"/>
    <mergeCell ref="Y1173:AD1173"/>
    <mergeCell ref="AF1173:AL1173"/>
    <mergeCell ref="A1172:C1172"/>
    <mergeCell ref="M1172:P1172"/>
    <mergeCell ref="Q1172:R1172"/>
    <mergeCell ref="T1172:V1172"/>
    <mergeCell ref="Y1172:AD1172"/>
    <mergeCell ref="AF1172:AL1172"/>
    <mergeCell ref="A1183:C1183"/>
    <mergeCell ref="M1183:P1183"/>
    <mergeCell ref="Q1183:R1183"/>
    <mergeCell ref="T1183:V1183"/>
    <mergeCell ref="Y1183:AD1183"/>
    <mergeCell ref="AF1183:AL1183"/>
    <mergeCell ref="A1182:C1182"/>
    <mergeCell ref="M1182:P1182"/>
    <mergeCell ref="Q1182:R1182"/>
    <mergeCell ref="T1182:V1182"/>
    <mergeCell ref="Y1182:AD1182"/>
    <mergeCell ref="AF1182:AL1182"/>
    <mergeCell ref="A1181:C1181"/>
    <mergeCell ref="M1181:P1181"/>
    <mergeCell ref="Q1181:R1181"/>
    <mergeCell ref="T1181:V1181"/>
    <mergeCell ref="Y1181:AD1181"/>
    <mergeCell ref="AF1181:AL1181"/>
    <mergeCell ref="A1180:C1180"/>
    <mergeCell ref="L1180:P1180"/>
    <mergeCell ref="Q1180:R1180"/>
    <mergeCell ref="T1180:V1180"/>
    <mergeCell ref="Y1180:AD1180"/>
    <mergeCell ref="AF1180:AL1180"/>
    <mergeCell ref="A1179:C1179"/>
    <mergeCell ref="K1179:P1179"/>
    <mergeCell ref="Q1179:R1179"/>
    <mergeCell ref="T1179:V1179"/>
    <mergeCell ref="Y1179:AD1179"/>
    <mergeCell ref="AF1179:AL1179"/>
    <mergeCell ref="A1178:C1178"/>
    <mergeCell ref="J1178:P1178"/>
    <mergeCell ref="Q1178:R1178"/>
    <mergeCell ref="T1178:V1178"/>
    <mergeCell ref="Y1178:AD1178"/>
    <mergeCell ref="AF1178:AL1178"/>
    <mergeCell ref="A1189:C1189"/>
    <mergeCell ref="L1189:P1189"/>
    <mergeCell ref="Q1189:R1189"/>
    <mergeCell ref="T1189:V1189"/>
    <mergeCell ref="Y1189:AD1189"/>
    <mergeCell ref="AF1189:AL1189"/>
    <mergeCell ref="A1188:C1188"/>
    <mergeCell ref="M1188:P1188"/>
    <mergeCell ref="Q1188:R1188"/>
    <mergeCell ref="T1188:V1188"/>
    <mergeCell ref="Y1188:AD1188"/>
    <mergeCell ref="AF1188:AL1188"/>
    <mergeCell ref="A1187:C1187"/>
    <mergeCell ref="M1187:P1187"/>
    <mergeCell ref="Q1187:R1187"/>
    <mergeCell ref="T1187:V1187"/>
    <mergeCell ref="Y1187:AD1187"/>
    <mergeCell ref="AF1187:AL1187"/>
    <mergeCell ref="A1186:C1186"/>
    <mergeCell ref="M1186:P1186"/>
    <mergeCell ref="Q1186:R1186"/>
    <mergeCell ref="T1186:V1186"/>
    <mergeCell ref="Y1186:AD1186"/>
    <mergeCell ref="AF1186:AL1186"/>
    <mergeCell ref="A1185:C1185"/>
    <mergeCell ref="M1185:P1185"/>
    <mergeCell ref="Q1185:R1185"/>
    <mergeCell ref="T1185:V1185"/>
    <mergeCell ref="Y1185:AD1185"/>
    <mergeCell ref="AF1185:AL1185"/>
    <mergeCell ref="A1184:C1184"/>
    <mergeCell ref="M1184:P1184"/>
    <mergeCell ref="Q1184:R1184"/>
    <mergeCell ref="T1184:V1184"/>
    <mergeCell ref="Y1184:AD1184"/>
    <mergeCell ref="AF1184:AL1184"/>
    <mergeCell ref="A1195:C1195"/>
    <mergeCell ref="M1195:P1195"/>
    <mergeCell ref="Q1195:R1195"/>
    <mergeCell ref="T1195:V1195"/>
    <mergeCell ref="Y1195:AD1195"/>
    <mergeCell ref="AF1195:AL1195"/>
    <mergeCell ref="A1194:C1194"/>
    <mergeCell ref="M1194:P1194"/>
    <mergeCell ref="Q1194:R1194"/>
    <mergeCell ref="T1194:V1194"/>
    <mergeCell ref="Y1194:AD1194"/>
    <mergeCell ref="AF1194:AL1194"/>
    <mergeCell ref="A1193:C1193"/>
    <mergeCell ref="M1193:P1193"/>
    <mergeCell ref="Q1193:R1193"/>
    <mergeCell ref="T1193:V1193"/>
    <mergeCell ref="Y1193:AD1193"/>
    <mergeCell ref="AF1193:AL1193"/>
    <mergeCell ref="A1192:C1192"/>
    <mergeCell ref="M1192:P1192"/>
    <mergeCell ref="Q1192:R1192"/>
    <mergeCell ref="T1192:V1192"/>
    <mergeCell ref="Y1192:AD1192"/>
    <mergeCell ref="AF1192:AL1192"/>
    <mergeCell ref="A1191:C1191"/>
    <mergeCell ref="L1191:P1191"/>
    <mergeCell ref="Q1191:R1191"/>
    <mergeCell ref="T1191:V1191"/>
    <mergeCell ref="Y1191:AD1191"/>
    <mergeCell ref="AF1191:AL1191"/>
    <mergeCell ref="A1190:C1190"/>
    <mergeCell ref="M1190:P1190"/>
    <mergeCell ref="Q1190:R1190"/>
    <mergeCell ref="T1190:V1190"/>
    <mergeCell ref="Y1190:AD1190"/>
    <mergeCell ref="AF1190:AL1190"/>
    <mergeCell ref="A1201:C1201"/>
    <mergeCell ref="K1201:P1201"/>
    <mergeCell ref="Q1201:R1201"/>
    <mergeCell ref="T1201:V1201"/>
    <mergeCell ref="Y1201:AD1201"/>
    <mergeCell ref="AF1201:AL1201"/>
    <mergeCell ref="A1200:C1200"/>
    <mergeCell ref="J1200:P1200"/>
    <mergeCell ref="Q1200:R1200"/>
    <mergeCell ref="T1200:V1200"/>
    <mergeCell ref="Y1200:AD1200"/>
    <mergeCell ref="AF1200:AL1200"/>
    <mergeCell ref="A1199:C1199"/>
    <mergeCell ref="M1199:P1199"/>
    <mergeCell ref="Q1199:R1199"/>
    <mergeCell ref="T1199:V1199"/>
    <mergeCell ref="Y1199:AD1199"/>
    <mergeCell ref="AF1199:AL1199"/>
    <mergeCell ref="A1198:C1198"/>
    <mergeCell ref="M1198:P1198"/>
    <mergeCell ref="Q1198:R1198"/>
    <mergeCell ref="T1198:V1198"/>
    <mergeCell ref="Y1198:AD1198"/>
    <mergeCell ref="AF1198:AL1198"/>
    <mergeCell ref="A1197:C1197"/>
    <mergeCell ref="M1197:P1197"/>
    <mergeCell ref="Q1197:R1197"/>
    <mergeCell ref="T1197:V1197"/>
    <mergeCell ref="Y1197:AD1197"/>
    <mergeCell ref="AF1197:AL1197"/>
    <mergeCell ref="A1196:C1196"/>
    <mergeCell ref="M1196:P1196"/>
    <mergeCell ref="Q1196:R1196"/>
    <mergeCell ref="T1196:V1196"/>
    <mergeCell ref="Y1196:AD1196"/>
    <mergeCell ref="AF1196:AL1196"/>
    <mergeCell ref="A1207:C1207"/>
    <mergeCell ref="M1207:P1207"/>
    <mergeCell ref="Q1207:R1207"/>
    <mergeCell ref="T1207:V1207"/>
    <mergeCell ref="Y1207:AD1207"/>
    <mergeCell ref="AF1207:AL1207"/>
    <mergeCell ref="A1206:C1206"/>
    <mergeCell ref="M1206:P1206"/>
    <mergeCell ref="Q1206:R1206"/>
    <mergeCell ref="T1206:V1206"/>
    <mergeCell ref="Y1206:AD1206"/>
    <mergeCell ref="AF1206:AL1206"/>
    <mergeCell ref="A1205:C1205"/>
    <mergeCell ref="M1205:P1205"/>
    <mergeCell ref="Q1205:R1205"/>
    <mergeCell ref="T1205:V1205"/>
    <mergeCell ref="Y1205:AD1205"/>
    <mergeCell ref="AF1205:AL1205"/>
    <mergeCell ref="A1204:C1204"/>
    <mergeCell ref="M1204:P1204"/>
    <mergeCell ref="Q1204:R1204"/>
    <mergeCell ref="T1204:V1204"/>
    <mergeCell ref="Y1204:AD1204"/>
    <mergeCell ref="AF1204:AL1204"/>
    <mergeCell ref="A1203:C1203"/>
    <mergeCell ref="M1203:P1203"/>
    <mergeCell ref="Q1203:R1203"/>
    <mergeCell ref="T1203:V1203"/>
    <mergeCell ref="Y1203:AD1203"/>
    <mergeCell ref="AF1203:AL1203"/>
    <mergeCell ref="A1202:C1202"/>
    <mergeCell ref="L1202:P1202"/>
    <mergeCell ref="Q1202:R1202"/>
    <mergeCell ref="T1202:V1202"/>
    <mergeCell ref="Y1202:AD1202"/>
    <mergeCell ref="AF1202:AL1202"/>
    <mergeCell ref="A1213:C1213"/>
    <mergeCell ref="M1213:P1213"/>
    <mergeCell ref="Q1213:R1213"/>
    <mergeCell ref="T1213:V1213"/>
    <mergeCell ref="Y1213:AD1213"/>
    <mergeCell ref="AF1213:AL1213"/>
    <mergeCell ref="A1212:C1212"/>
    <mergeCell ref="M1212:P1212"/>
    <mergeCell ref="Q1212:R1212"/>
    <mergeCell ref="T1212:V1212"/>
    <mergeCell ref="Y1212:AD1212"/>
    <mergeCell ref="AF1212:AL1212"/>
    <mergeCell ref="A1211:C1211"/>
    <mergeCell ref="M1211:P1211"/>
    <mergeCell ref="Q1211:R1211"/>
    <mergeCell ref="T1211:V1211"/>
    <mergeCell ref="Y1211:AD1211"/>
    <mergeCell ref="AF1211:AL1211"/>
    <mergeCell ref="A1210:C1210"/>
    <mergeCell ref="L1210:P1210"/>
    <mergeCell ref="Q1210:R1210"/>
    <mergeCell ref="T1210:V1210"/>
    <mergeCell ref="Y1210:AD1210"/>
    <mergeCell ref="AF1210:AL1210"/>
    <mergeCell ref="A1209:C1209"/>
    <mergeCell ref="M1209:P1209"/>
    <mergeCell ref="Q1209:R1209"/>
    <mergeCell ref="T1209:V1209"/>
    <mergeCell ref="Y1209:AD1209"/>
    <mergeCell ref="AF1209:AL1209"/>
    <mergeCell ref="A1208:C1208"/>
    <mergeCell ref="L1208:P1208"/>
    <mergeCell ref="Q1208:R1208"/>
    <mergeCell ref="T1208:V1208"/>
    <mergeCell ref="Y1208:AD1208"/>
    <mergeCell ref="AF1208:AL1208"/>
    <mergeCell ref="A1219:C1219"/>
    <mergeCell ref="M1219:P1219"/>
    <mergeCell ref="Q1219:R1219"/>
    <mergeCell ref="T1219:V1219"/>
    <mergeCell ref="Y1219:AD1219"/>
    <mergeCell ref="AF1219:AL1219"/>
    <mergeCell ref="A1218:C1218"/>
    <mergeCell ref="M1218:P1218"/>
    <mergeCell ref="Q1218:R1218"/>
    <mergeCell ref="T1218:V1218"/>
    <mergeCell ref="Y1218:AD1218"/>
    <mergeCell ref="AF1218:AL1218"/>
    <mergeCell ref="A1217:C1217"/>
    <mergeCell ref="M1217:P1217"/>
    <mergeCell ref="Q1217:R1217"/>
    <mergeCell ref="T1217:V1217"/>
    <mergeCell ref="Y1217:AD1217"/>
    <mergeCell ref="AF1217:AL1217"/>
    <mergeCell ref="A1216:C1216"/>
    <mergeCell ref="M1216:P1216"/>
    <mergeCell ref="Q1216:R1216"/>
    <mergeCell ref="T1216:V1216"/>
    <mergeCell ref="Y1216:AD1216"/>
    <mergeCell ref="AF1216:AL1216"/>
    <mergeCell ref="A1215:C1215"/>
    <mergeCell ref="M1215:P1215"/>
    <mergeCell ref="Q1215:R1215"/>
    <mergeCell ref="T1215:V1215"/>
    <mergeCell ref="Y1215:AD1215"/>
    <mergeCell ref="AF1215:AL1215"/>
    <mergeCell ref="A1214:C1214"/>
    <mergeCell ref="M1214:P1214"/>
    <mergeCell ref="Q1214:R1214"/>
    <mergeCell ref="T1214:V1214"/>
    <mergeCell ref="Y1214:AD1214"/>
    <mergeCell ref="AF1214:AL1214"/>
    <mergeCell ref="A1225:C1225"/>
    <mergeCell ref="J1225:P1225"/>
    <mergeCell ref="Q1225:R1225"/>
    <mergeCell ref="T1225:V1225"/>
    <mergeCell ref="Y1225:AD1225"/>
    <mergeCell ref="AF1225:AL1225"/>
    <mergeCell ref="A1224:C1224"/>
    <mergeCell ref="M1224:P1224"/>
    <mergeCell ref="Q1224:R1224"/>
    <mergeCell ref="T1224:V1224"/>
    <mergeCell ref="Y1224:AD1224"/>
    <mergeCell ref="AF1224:AL1224"/>
    <mergeCell ref="A1223:C1223"/>
    <mergeCell ref="L1223:P1223"/>
    <mergeCell ref="Q1223:R1223"/>
    <mergeCell ref="T1223:V1223"/>
    <mergeCell ref="Y1223:AD1223"/>
    <mergeCell ref="AF1223:AL1223"/>
    <mergeCell ref="A1222:C1222"/>
    <mergeCell ref="K1222:P1222"/>
    <mergeCell ref="Q1222:R1222"/>
    <mergeCell ref="T1222:V1222"/>
    <mergeCell ref="Y1222:AD1222"/>
    <mergeCell ref="AF1222:AL1222"/>
    <mergeCell ref="A1221:C1221"/>
    <mergeCell ref="J1221:P1221"/>
    <mergeCell ref="Q1221:R1221"/>
    <mergeCell ref="T1221:V1221"/>
    <mergeCell ref="Y1221:AD1221"/>
    <mergeCell ref="AF1221:AL1221"/>
    <mergeCell ref="A1220:C1220"/>
    <mergeCell ref="M1220:P1220"/>
    <mergeCell ref="Q1220:R1220"/>
    <mergeCell ref="T1220:V1220"/>
    <mergeCell ref="Y1220:AD1220"/>
    <mergeCell ref="AF1220:AL1220"/>
    <mergeCell ref="A1231:C1231"/>
    <mergeCell ref="L1231:P1231"/>
    <mergeCell ref="Q1231:R1231"/>
    <mergeCell ref="T1231:V1231"/>
    <mergeCell ref="Y1231:AD1231"/>
    <mergeCell ref="AF1231:AL1231"/>
    <mergeCell ref="A1230:C1230"/>
    <mergeCell ref="M1230:P1230"/>
    <mergeCell ref="Q1230:R1230"/>
    <mergeCell ref="T1230:V1230"/>
    <mergeCell ref="Y1230:AD1230"/>
    <mergeCell ref="AF1230:AL1230"/>
    <mergeCell ref="A1229:C1229"/>
    <mergeCell ref="L1229:P1229"/>
    <mergeCell ref="Q1229:R1229"/>
    <mergeCell ref="T1229:V1229"/>
    <mergeCell ref="Y1229:AD1229"/>
    <mergeCell ref="AF1229:AL1229"/>
    <mergeCell ref="A1228:C1228"/>
    <mergeCell ref="M1228:P1228"/>
    <mergeCell ref="Q1228:R1228"/>
    <mergeCell ref="T1228:V1228"/>
    <mergeCell ref="Y1228:AD1228"/>
    <mergeCell ref="AF1228:AL1228"/>
    <mergeCell ref="A1227:C1227"/>
    <mergeCell ref="L1227:P1227"/>
    <mergeCell ref="Q1227:R1227"/>
    <mergeCell ref="T1227:V1227"/>
    <mergeCell ref="Y1227:AD1227"/>
    <mergeCell ref="AF1227:AL1227"/>
    <mergeCell ref="A1226:C1226"/>
    <mergeCell ref="K1226:P1226"/>
    <mergeCell ref="Q1226:R1226"/>
    <mergeCell ref="T1226:V1226"/>
    <mergeCell ref="Y1226:AD1226"/>
    <mergeCell ref="AF1226:AL1226"/>
    <mergeCell ref="A1237:C1237"/>
    <mergeCell ref="J1237:P1237"/>
    <mergeCell ref="Q1237:R1237"/>
    <mergeCell ref="T1237:V1237"/>
    <mergeCell ref="Y1237:AD1237"/>
    <mergeCell ref="AF1237:AL1237"/>
    <mergeCell ref="A1236:C1236"/>
    <mergeCell ref="M1236:P1236"/>
    <mergeCell ref="Q1236:R1236"/>
    <mergeCell ref="T1236:V1236"/>
    <mergeCell ref="Y1236:AD1236"/>
    <mergeCell ref="AF1236:AL1236"/>
    <mergeCell ref="A1235:C1235"/>
    <mergeCell ref="L1235:P1235"/>
    <mergeCell ref="Q1235:R1235"/>
    <mergeCell ref="T1235:V1235"/>
    <mergeCell ref="Y1235:AD1235"/>
    <mergeCell ref="AF1235:AL1235"/>
    <mergeCell ref="A1234:C1234"/>
    <mergeCell ref="K1234:P1234"/>
    <mergeCell ref="Q1234:R1234"/>
    <mergeCell ref="T1234:V1234"/>
    <mergeCell ref="Y1234:AD1234"/>
    <mergeCell ref="AF1234:AL1234"/>
    <mergeCell ref="A1233:C1233"/>
    <mergeCell ref="J1233:P1233"/>
    <mergeCell ref="Q1233:R1233"/>
    <mergeCell ref="T1233:V1233"/>
    <mergeCell ref="Y1233:AD1233"/>
    <mergeCell ref="AF1233:AL1233"/>
    <mergeCell ref="A1232:C1232"/>
    <mergeCell ref="M1232:P1232"/>
    <mergeCell ref="Q1232:R1232"/>
    <mergeCell ref="T1232:V1232"/>
    <mergeCell ref="Y1232:AD1232"/>
    <mergeCell ref="AF1232:AL1232"/>
    <mergeCell ref="A1243:C1243"/>
    <mergeCell ref="L1243:P1243"/>
    <mergeCell ref="Q1243:R1243"/>
    <mergeCell ref="T1243:V1243"/>
    <mergeCell ref="Y1243:AD1243"/>
    <mergeCell ref="AF1243:AL1243"/>
    <mergeCell ref="A1242:C1242"/>
    <mergeCell ref="K1242:P1242"/>
    <mergeCell ref="Q1242:R1242"/>
    <mergeCell ref="T1242:V1242"/>
    <mergeCell ref="Y1242:AD1242"/>
    <mergeCell ref="AF1242:AL1242"/>
    <mergeCell ref="A1241:C1241"/>
    <mergeCell ref="J1241:P1241"/>
    <mergeCell ref="Q1241:R1241"/>
    <mergeCell ref="T1241:V1241"/>
    <mergeCell ref="Y1241:AD1241"/>
    <mergeCell ref="AF1241:AL1241"/>
    <mergeCell ref="A1240:C1240"/>
    <mergeCell ref="M1240:P1240"/>
    <mergeCell ref="Q1240:R1240"/>
    <mergeCell ref="T1240:V1240"/>
    <mergeCell ref="Y1240:AD1240"/>
    <mergeCell ref="AF1240:AL1240"/>
    <mergeCell ref="A1239:C1239"/>
    <mergeCell ref="L1239:P1239"/>
    <mergeCell ref="Q1239:R1239"/>
    <mergeCell ref="T1239:V1239"/>
    <mergeCell ref="Y1239:AD1239"/>
    <mergeCell ref="AF1239:AL1239"/>
    <mergeCell ref="A1238:C1238"/>
    <mergeCell ref="K1238:P1238"/>
    <mergeCell ref="Q1238:R1238"/>
    <mergeCell ref="T1238:V1238"/>
    <mergeCell ref="Y1238:AD1238"/>
    <mergeCell ref="AF1238:AL1238"/>
    <mergeCell ref="A1249:C1249"/>
    <mergeCell ref="L1249:P1249"/>
    <mergeCell ref="Q1249:R1249"/>
    <mergeCell ref="T1249:V1249"/>
    <mergeCell ref="Y1249:AD1249"/>
    <mergeCell ref="AF1249:AL1249"/>
    <mergeCell ref="A1248:C1248"/>
    <mergeCell ref="M1248:P1248"/>
    <mergeCell ref="Q1248:R1248"/>
    <mergeCell ref="T1248:V1248"/>
    <mergeCell ref="Y1248:AD1248"/>
    <mergeCell ref="AF1248:AL1248"/>
    <mergeCell ref="A1247:C1247"/>
    <mergeCell ref="L1247:P1247"/>
    <mergeCell ref="Q1247:R1247"/>
    <mergeCell ref="T1247:V1247"/>
    <mergeCell ref="Y1247:AD1247"/>
    <mergeCell ref="AF1247:AL1247"/>
    <mergeCell ref="A1246:C1246"/>
    <mergeCell ref="K1246:P1246"/>
    <mergeCell ref="Q1246:R1246"/>
    <mergeCell ref="T1246:V1246"/>
    <mergeCell ref="Y1246:AD1246"/>
    <mergeCell ref="AF1246:AL1246"/>
    <mergeCell ref="A1245:C1245"/>
    <mergeCell ref="J1245:P1245"/>
    <mergeCell ref="Q1245:R1245"/>
    <mergeCell ref="T1245:V1245"/>
    <mergeCell ref="Y1245:AD1245"/>
    <mergeCell ref="AF1245:AL1245"/>
    <mergeCell ref="A1244:C1244"/>
    <mergeCell ref="M1244:P1244"/>
    <mergeCell ref="Q1244:R1244"/>
    <mergeCell ref="T1244:V1244"/>
    <mergeCell ref="Y1244:AD1244"/>
    <mergeCell ref="AF1244:AL1244"/>
    <mergeCell ref="A1255:C1255"/>
    <mergeCell ref="L1255:P1255"/>
    <mergeCell ref="Q1255:R1255"/>
    <mergeCell ref="T1255:V1255"/>
    <mergeCell ref="Y1255:AD1255"/>
    <mergeCell ref="AF1255:AL1255"/>
    <mergeCell ref="A1254:C1254"/>
    <mergeCell ref="K1254:P1254"/>
    <mergeCell ref="Q1254:R1254"/>
    <mergeCell ref="T1254:V1254"/>
    <mergeCell ref="Y1254:AD1254"/>
    <mergeCell ref="AF1254:AL1254"/>
    <mergeCell ref="A1253:C1253"/>
    <mergeCell ref="J1253:P1253"/>
    <mergeCell ref="Q1253:R1253"/>
    <mergeCell ref="T1253:V1253"/>
    <mergeCell ref="Y1253:AD1253"/>
    <mergeCell ref="AF1253:AL1253"/>
    <mergeCell ref="A1252:C1252"/>
    <mergeCell ref="M1252:P1252"/>
    <mergeCell ref="Q1252:R1252"/>
    <mergeCell ref="T1252:V1252"/>
    <mergeCell ref="Y1252:AD1252"/>
    <mergeCell ref="AF1252:AL1252"/>
    <mergeCell ref="A1251:C1251"/>
    <mergeCell ref="L1251:P1251"/>
    <mergeCell ref="Q1251:R1251"/>
    <mergeCell ref="T1251:V1251"/>
    <mergeCell ref="Y1251:AD1251"/>
    <mergeCell ref="AF1251:AL1251"/>
    <mergeCell ref="A1250:C1250"/>
    <mergeCell ref="M1250:P1250"/>
    <mergeCell ref="Q1250:R1250"/>
    <mergeCell ref="T1250:V1250"/>
    <mergeCell ref="Y1250:AD1250"/>
    <mergeCell ref="AF1250:AL1250"/>
    <mergeCell ref="A1261:C1261"/>
    <mergeCell ref="K1261:P1261"/>
    <mergeCell ref="Q1261:R1261"/>
    <mergeCell ref="T1261:V1261"/>
    <mergeCell ref="Y1261:AD1261"/>
    <mergeCell ref="AF1261:AL1261"/>
    <mergeCell ref="A1260:C1260"/>
    <mergeCell ref="M1260:P1260"/>
    <mergeCell ref="Q1260:R1260"/>
    <mergeCell ref="T1260:V1260"/>
    <mergeCell ref="Y1260:AD1260"/>
    <mergeCell ref="AF1260:AL1260"/>
    <mergeCell ref="A1259:C1259"/>
    <mergeCell ref="L1259:P1259"/>
    <mergeCell ref="Q1259:R1259"/>
    <mergeCell ref="T1259:V1259"/>
    <mergeCell ref="Y1259:AD1259"/>
    <mergeCell ref="AF1259:AL1259"/>
    <mergeCell ref="A1258:C1258"/>
    <mergeCell ref="M1258:P1258"/>
    <mergeCell ref="Q1258:R1258"/>
    <mergeCell ref="T1258:V1258"/>
    <mergeCell ref="Y1258:AD1258"/>
    <mergeCell ref="AF1258:AL1258"/>
    <mergeCell ref="A1257:C1257"/>
    <mergeCell ref="L1257:P1257"/>
    <mergeCell ref="Q1257:R1257"/>
    <mergeCell ref="T1257:V1257"/>
    <mergeCell ref="Y1257:AD1257"/>
    <mergeCell ref="AF1257:AL1257"/>
    <mergeCell ref="A1256:C1256"/>
    <mergeCell ref="M1256:P1256"/>
    <mergeCell ref="Q1256:R1256"/>
    <mergeCell ref="T1256:V1256"/>
    <mergeCell ref="Y1256:AD1256"/>
    <mergeCell ref="AF1256:AL1256"/>
    <mergeCell ref="A1267:C1267"/>
    <mergeCell ref="M1267:P1267"/>
    <mergeCell ref="Q1267:R1267"/>
    <mergeCell ref="T1267:V1267"/>
    <mergeCell ref="Y1267:AD1267"/>
    <mergeCell ref="AF1267:AL1267"/>
    <mergeCell ref="A1266:C1266"/>
    <mergeCell ref="L1266:P1266"/>
    <mergeCell ref="Q1266:R1266"/>
    <mergeCell ref="T1266:V1266"/>
    <mergeCell ref="Y1266:AD1266"/>
    <mergeCell ref="AF1266:AL1266"/>
    <mergeCell ref="A1265:C1265"/>
    <mergeCell ref="M1265:P1265"/>
    <mergeCell ref="Q1265:R1265"/>
    <mergeCell ref="T1265:V1265"/>
    <mergeCell ref="Y1265:AD1265"/>
    <mergeCell ref="AF1265:AL1265"/>
    <mergeCell ref="A1264:C1264"/>
    <mergeCell ref="L1264:P1264"/>
    <mergeCell ref="Q1264:R1264"/>
    <mergeCell ref="T1264:V1264"/>
    <mergeCell ref="Y1264:AD1264"/>
    <mergeCell ref="AF1264:AL1264"/>
    <mergeCell ref="A1263:C1263"/>
    <mergeCell ref="M1263:P1263"/>
    <mergeCell ref="Q1263:R1263"/>
    <mergeCell ref="T1263:V1263"/>
    <mergeCell ref="Y1263:AD1263"/>
    <mergeCell ref="AF1263:AL1263"/>
    <mergeCell ref="A1262:C1262"/>
    <mergeCell ref="L1262:P1262"/>
    <mergeCell ref="Q1262:R1262"/>
    <mergeCell ref="T1262:V1262"/>
    <mergeCell ref="Y1262:AD1262"/>
    <mergeCell ref="AF1262:AL1262"/>
    <mergeCell ref="A1273:C1273"/>
    <mergeCell ref="J1273:P1273"/>
    <mergeCell ref="Q1273:R1273"/>
    <mergeCell ref="T1273:V1273"/>
    <mergeCell ref="Y1273:AD1273"/>
    <mergeCell ref="AF1273:AL1273"/>
    <mergeCell ref="A1272:C1272"/>
    <mergeCell ref="M1272:P1272"/>
    <mergeCell ref="Q1272:R1272"/>
    <mergeCell ref="T1272:V1272"/>
    <mergeCell ref="Y1272:AD1272"/>
    <mergeCell ref="AF1272:AL1272"/>
    <mergeCell ref="A1271:C1271"/>
    <mergeCell ref="M1271:P1271"/>
    <mergeCell ref="Q1271:R1271"/>
    <mergeCell ref="T1271:V1271"/>
    <mergeCell ref="Y1271:AD1271"/>
    <mergeCell ref="AF1271:AL1271"/>
    <mergeCell ref="A1270:C1270"/>
    <mergeCell ref="L1270:P1270"/>
    <mergeCell ref="Q1270:R1270"/>
    <mergeCell ref="T1270:V1270"/>
    <mergeCell ref="Y1270:AD1270"/>
    <mergeCell ref="AF1270:AL1270"/>
    <mergeCell ref="A1269:C1269"/>
    <mergeCell ref="K1269:P1269"/>
    <mergeCell ref="Q1269:R1269"/>
    <mergeCell ref="T1269:V1269"/>
    <mergeCell ref="Y1269:AD1269"/>
    <mergeCell ref="AF1269:AL1269"/>
    <mergeCell ref="A1268:C1268"/>
    <mergeCell ref="J1268:P1268"/>
    <mergeCell ref="Q1268:R1268"/>
    <mergeCell ref="T1268:V1268"/>
    <mergeCell ref="Y1268:AD1268"/>
    <mergeCell ref="AF1268:AL1268"/>
    <mergeCell ref="A1279:C1279"/>
    <mergeCell ref="M1279:P1279"/>
    <mergeCell ref="Q1279:R1279"/>
    <mergeCell ref="T1279:V1279"/>
    <mergeCell ref="Y1279:AD1279"/>
    <mergeCell ref="AF1279:AL1279"/>
    <mergeCell ref="A1278:C1278"/>
    <mergeCell ref="L1278:P1278"/>
    <mergeCell ref="Q1278:R1278"/>
    <mergeCell ref="T1278:V1278"/>
    <mergeCell ref="Y1278:AD1278"/>
    <mergeCell ref="AF1278:AL1278"/>
    <mergeCell ref="A1277:C1277"/>
    <mergeCell ref="K1277:P1277"/>
    <mergeCell ref="Q1277:R1277"/>
    <mergeCell ref="T1277:V1277"/>
    <mergeCell ref="Y1277:AD1277"/>
    <mergeCell ref="AF1277:AL1277"/>
    <mergeCell ref="A1276:C1276"/>
    <mergeCell ref="M1276:P1276"/>
    <mergeCell ref="Q1276:R1276"/>
    <mergeCell ref="T1276:V1276"/>
    <mergeCell ref="Y1276:AD1276"/>
    <mergeCell ref="AF1276:AL1276"/>
    <mergeCell ref="A1275:C1275"/>
    <mergeCell ref="L1275:P1275"/>
    <mergeCell ref="Q1275:R1275"/>
    <mergeCell ref="T1275:V1275"/>
    <mergeCell ref="Y1275:AD1275"/>
    <mergeCell ref="AF1275:AL1275"/>
    <mergeCell ref="A1274:C1274"/>
    <mergeCell ref="K1274:P1274"/>
    <mergeCell ref="Q1274:R1274"/>
    <mergeCell ref="T1274:V1274"/>
    <mergeCell ref="Y1274:AD1274"/>
    <mergeCell ref="AF1274:AL1274"/>
    <mergeCell ref="A1285:C1285"/>
    <mergeCell ref="M1285:P1285"/>
    <mergeCell ref="Q1285:R1285"/>
    <mergeCell ref="T1285:V1285"/>
    <mergeCell ref="Y1285:AD1285"/>
    <mergeCell ref="AF1285:AL1285"/>
    <mergeCell ref="A1284:C1284"/>
    <mergeCell ref="K1284:P1284"/>
    <mergeCell ref="Q1284:R1284"/>
    <mergeCell ref="T1284:V1284"/>
    <mergeCell ref="Y1284:AD1284"/>
    <mergeCell ref="AF1284:AL1284"/>
    <mergeCell ref="A1283:C1283"/>
    <mergeCell ref="J1283:P1283"/>
    <mergeCell ref="Q1283:R1283"/>
    <mergeCell ref="T1283:V1283"/>
    <mergeCell ref="Y1283:AD1283"/>
    <mergeCell ref="AF1283:AL1283"/>
    <mergeCell ref="A1282:C1282"/>
    <mergeCell ref="M1282:P1282"/>
    <mergeCell ref="Q1282:R1282"/>
    <mergeCell ref="T1282:V1282"/>
    <mergeCell ref="Y1282:AD1282"/>
    <mergeCell ref="AF1282:AL1282"/>
    <mergeCell ref="A1281:C1281"/>
    <mergeCell ref="M1281:P1281"/>
    <mergeCell ref="Q1281:R1281"/>
    <mergeCell ref="T1281:V1281"/>
    <mergeCell ref="Y1281:AD1281"/>
    <mergeCell ref="AF1281:AL1281"/>
    <mergeCell ref="A1280:C1280"/>
    <mergeCell ref="L1280:P1280"/>
    <mergeCell ref="Q1280:R1280"/>
    <mergeCell ref="T1280:V1280"/>
    <mergeCell ref="Y1280:AD1280"/>
    <mergeCell ref="AF1280:AL1280"/>
    <mergeCell ref="A1291:C1291"/>
    <mergeCell ref="M1291:P1291"/>
    <mergeCell ref="Q1291:R1291"/>
    <mergeCell ref="T1291:V1291"/>
    <mergeCell ref="Y1291:AD1291"/>
    <mergeCell ref="AF1291:AL1291"/>
    <mergeCell ref="A1290:C1290"/>
    <mergeCell ref="K1290:P1290"/>
    <mergeCell ref="Q1290:R1290"/>
    <mergeCell ref="T1290:V1290"/>
    <mergeCell ref="Y1290:AD1290"/>
    <mergeCell ref="AF1290:AL1290"/>
    <mergeCell ref="A1289:C1289"/>
    <mergeCell ref="M1289:P1289"/>
    <mergeCell ref="Q1289:R1289"/>
    <mergeCell ref="T1289:V1289"/>
    <mergeCell ref="Y1289:AD1289"/>
    <mergeCell ref="AF1289:AL1289"/>
    <mergeCell ref="A1288:C1288"/>
    <mergeCell ref="K1288:P1288"/>
    <mergeCell ref="Q1288:R1288"/>
    <mergeCell ref="T1288:V1288"/>
    <mergeCell ref="Y1288:AD1288"/>
    <mergeCell ref="AF1288:AL1288"/>
    <mergeCell ref="A1287:C1287"/>
    <mergeCell ref="M1287:P1287"/>
    <mergeCell ref="Q1287:R1287"/>
    <mergeCell ref="T1287:V1287"/>
    <mergeCell ref="Y1287:AD1287"/>
    <mergeCell ref="AF1287:AL1287"/>
    <mergeCell ref="A1286:C1286"/>
    <mergeCell ref="K1286:P1286"/>
    <mergeCell ref="Q1286:R1286"/>
    <mergeCell ref="T1286:V1286"/>
    <mergeCell ref="Y1286:AD1286"/>
    <mergeCell ref="AF1286:AL1286"/>
    <mergeCell ref="A1297:C1297"/>
    <mergeCell ref="M1297:P1297"/>
    <mergeCell ref="Q1297:R1297"/>
    <mergeCell ref="T1297:V1297"/>
    <mergeCell ref="Y1297:AD1297"/>
    <mergeCell ref="AF1297:AL1297"/>
    <mergeCell ref="A1296:C1296"/>
    <mergeCell ref="K1296:P1296"/>
    <mergeCell ref="Q1296:R1296"/>
    <mergeCell ref="T1296:V1296"/>
    <mergeCell ref="Y1296:AD1296"/>
    <mergeCell ref="AF1296:AL1296"/>
    <mergeCell ref="A1295:C1295"/>
    <mergeCell ref="M1295:P1295"/>
    <mergeCell ref="Q1295:R1295"/>
    <mergeCell ref="T1295:V1295"/>
    <mergeCell ref="Y1295:AD1295"/>
    <mergeCell ref="AF1295:AL1295"/>
    <mergeCell ref="A1294:C1294"/>
    <mergeCell ref="K1294:P1294"/>
    <mergeCell ref="Q1294:R1294"/>
    <mergeCell ref="T1294:V1294"/>
    <mergeCell ref="Y1294:AD1294"/>
    <mergeCell ref="AF1294:AL1294"/>
    <mergeCell ref="A1293:C1293"/>
    <mergeCell ref="M1293:P1293"/>
    <mergeCell ref="Q1293:R1293"/>
    <mergeCell ref="T1293:V1293"/>
    <mergeCell ref="Y1293:AD1293"/>
    <mergeCell ref="AF1293:AL1293"/>
    <mergeCell ref="A1292:C1292"/>
    <mergeCell ref="K1292:P1292"/>
    <mergeCell ref="Q1292:R1292"/>
    <mergeCell ref="T1292:V1292"/>
    <mergeCell ref="Y1292:AD1292"/>
    <mergeCell ref="AF1292:AL1292"/>
    <mergeCell ref="A1303:C1303"/>
    <mergeCell ref="J1303:P1303"/>
    <mergeCell ref="Q1303:R1303"/>
    <mergeCell ref="T1303:V1303"/>
    <mergeCell ref="Y1303:AD1303"/>
    <mergeCell ref="AF1303:AL1303"/>
    <mergeCell ref="A1302:C1302"/>
    <mergeCell ref="M1302:P1302"/>
    <mergeCell ref="Q1302:R1302"/>
    <mergeCell ref="T1302:V1302"/>
    <mergeCell ref="Y1302:AD1302"/>
    <mergeCell ref="AF1302:AL1302"/>
    <mergeCell ref="A1301:C1301"/>
    <mergeCell ref="K1301:P1301"/>
    <mergeCell ref="Q1301:R1301"/>
    <mergeCell ref="T1301:V1301"/>
    <mergeCell ref="Y1301:AD1301"/>
    <mergeCell ref="AF1301:AL1301"/>
    <mergeCell ref="A1300:C1300"/>
    <mergeCell ref="M1300:P1300"/>
    <mergeCell ref="Q1300:R1300"/>
    <mergeCell ref="T1300:V1300"/>
    <mergeCell ref="Y1300:AD1300"/>
    <mergeCell ref="AF1300:AL1300"/>
    <mergeCell ref="A1299:C1299"/>
    <mergeCell ref="K1299:P1299"/>
    <mergeCell ref="Q1299:R1299"/>
    <mergeCell ref="T1299:V1299"/>
    <mergeCell ref="Y1299:AD1299"/>
    <mergeCell ref="AF1299:AL1299"/>
    <mergeCell ref="A1298:C1298"/>
    <mergeCell ref="J1298:P1298"/>
    <mergeCell ref="Q1298:R1298"/>
    <mergeCell ref="T1298:V1298"/>
    <mergeCell ref="Y1298:AD1298"/>
    <mergeCell ref="AF1298:AL1298"/>
    <mergeCell ref="A1309:C1309"/>
    <mergeCell ref="K1309:P1309"/>
    <mergeCell ref="Q1309:R1309"/>
    <mergeCell ref="T1309:V1309"/>
    <mergeCell ref="Y1309:AD1309"/>
    <mergeCell ref="AF1309:AL1309"/>
    <mergeCell ref="A1308:C1308"/>
    <mergeCell ref="J1308:P1308"/>
    <mergeCell ref="Q1308:R1308"/>
    <mergeCell ref="T1308:V1308"/>
    <mergeCell ref="Y1308:AD1308"/>
    <mergeCell ref="AF1308:AL1308"/>
    <mergeCell ref="A1307:C1307"/>
    <mergeCell ref="M1307:P1307"/>
    <mergeCell ref="Q1307:R1307"/>
    <mergeCell ref="T1307:V1307"/>
    <mergeCell ref="Y1307:AD1307"/>
    <mergeCell ref="AF1307:AL1307"/>
    <mergeCell ref="A1306:C1306"/>
    <mergeCell ref="K1306:P1306"/>
    <mergeCell ref="Q1306:R1306"/>
    <mergeCell ref="T1306:V1306"/>
    <mergeCell ref="Y1306:AD1306"/>
    <mergeCell ref="AF1306:AL1306"/>
    <mergeCell ref="A1305:C1305"/>
    <mergeCell ref="M1305:P1305"/>
    <mergeCell ref="Q1305:R1305"/>
    <mergeCell ref="T1305:V1305"/>
    <mergeCell ref="Y1305:AD1305"/>
    <mergeCell ref="AF1305:AL1305"/>
    <mergeCell ref="A1304:C1304"/>
    <mergeCell ref="K1304:P1304"/>
    <mergeCell ref="Q1304:R1304"/>
    <mergeCell ref="T1304:V1304"/>
    <mergeCell ref="Y1304:AD1304"/>
    <mergeCell ref="AF1304:AL1304"/>
    <mergeCell ref="A1315:C1315"/>
    <mergeCell ref="K1315:P1315"/>
    <mergeCell ref="Q1315:R1315"/>
    <mergeCell ref="T1315:V1315"/>
    <mergeCell ref="Y1315:AD1315"/>
    <mergeCell ref="AF1315:AL1315"/>
    <mergeCell ref="A1314:C1314"/>
    <mergeCell ref="J1314:P1314"/>
    <mergeCell ref="Q1314:R1314"/>
    <mergeCell ref="T1314:V1314"/>
    <mergeCell ref="Y1314:AD1314"/>
    <mergeCell ref="AF1314:AL1314"/>
    <mergeCell ref="A1313:C1313"/>
    <mergeCell ref="M1313:P1313"/>
    <mergeCell ref="Q1313:R1313"/>
    <mergeCell ref="T1313:V1313"/>
    <mergeCell ref="Y1313:AD1313"/>
    <mergeCell ref="AF1313:AL1313"/>
    <mergeCell ref="A1312:C1312"/>
    <mergeCell ref="K1312:P1312"/>
    <mergeCell ref="Q1312:R1312"/>
    <mergeCell ref="T1312:V1312"/>
    <mergeCell ref="Y1312:AD1312"/>
    <mergeCell ref="AF1312:AL1312"/>
    <mergeCell ref="A1311:C1311"/>
    <mergeCell ref="J1311:P1311"/>
    <mergeCell ref="Q1311:R1311"/>
    <mergeCell ref="T1311:V1311"/>
    <mergeCell ref="Y1311:AD1311"/>
    <mergeCell ref="AF1311:AL1311"/>
    <mergeCell ref="A1310:C1310"/>
    <mergeCell ref="M1310:P1310"/>
    <mergeCell ref="Q1310:R1310"/>
    <mergeCell ref="T1310:V1310"/>
    <mergeCell ref="Y1310:AD1310"/>
    <mergeCell ref="AF1310:AL1310"/>
    <mergeCell ref="A1321:C1321"/>
    <mergeCell ref="K1321:P1321"/>
    <mergeCell ref="Q1321:R1321"/>
    <mergeCell ref="T1321:V1321"/>
    <mergeCell ref="Y1321:AD1321"/>
    <mergeCell ref="AF1321:AL1321"/>
    <mergeCell ref="A1320:C1320"/>
    <mergeCell ref="J1320:P1320"/>
    <mergeCell ref="Q1320:R1320"/>
    <mergeCell ref="T1320:V1320"/>
    <mergeCell ref="Y1320:AD1320"/>
    <mergeCell ref="AF1320:AL1320"/>
    <mergeCell ref="A1319:C1319"/>
    <mergeCell ref="M1319:P1319"/>
    <mergeCell ref="Q1319:R1319"/>
    <mergeCell ref="T1319:V1319"/>
    <mergeCell ref="Y1319:AD1319"/>
    <mergeCell ref="AF1319:AL1319"/>
    <mergeCell ref="A1318:C1318"/>
    <mergeCell ref="K1318:P1318"/>
    <mergeCell ref="Q1318:R1318"/>
    <mergeCell ref="T1318:V1318"/>
    <mergeCell ref="Y1318:AD1318"/>
    <mergeCell ref="AF1318:AL1318"/>
    <mergeCell ref="A1317:C1317"/>
    <mergeCell ref="J1317:P1317"/>
    <mergeCell ref="Q1317:R1317"/>
    <mergeCell ref="T1317:V1317"/>
    <mergeCell ref="Y1317:AD1317"/>
    <mergeCell ref="AF1317:AL1317"/>
    <mergeCell ref="A1316:C1316"/>
    <mergeCell ref="M1316:P1316"/>
    <mergeCell ref="Q1316:R1316"/>
    <mergeCell ref="T1316:V1316"/>
    <mergeCell ref="Y1316:AD1316"/>
    <mergeCell ref="AF1316:AL1316"/>
    <mergeCell ref="A1327:C1327"/>
    <mergeCell ref="K1327:P1327"/>
    <mergeCell ref="Q1327:R1327"/>
    <mergeCell ref="T1327:V1327"/>
    <mergeCell ref="Y1327:AD1327"/>
    <mergeCell ref="AF1327:AL1327"/>
    <mergeCell ref="A1326:C1326"/>
    <mergeCell ref="J1326:P1326"/>
    <mergeCell ref="Q1326:R1326"/>
    <mergeCell ref="T1326:V1326"/>
    <mergeCell ref="Y1326:AD1326"/>
    <mergeCell ref="AF1326:AL1326"/>
    <mergeCell ref="A1325:C1325"/>
    <mergeCell ref="M1325:P1325"/>
    <mergeCell ref="Q1325:R1325"/>
    <mergeCell ref="T1325:V1325"/>
    <mergeCell ref="Y1325:AD1325"/>
    <mergeCell ref="AF1325:AL1325"/>
    <mergeCell ref="A1324:C1324"/>
    <mergeCell ref="K1324:P1324"/>
    <mergeCell ref="Q1324:R1324"/>
    <mergeCell ref="T1324:V1324"/>
    <mergeCell ref="Y1324:AD1324"/>
    <mergeCell ref="AF1324:AL1324"/>
    <mergeCell ref="A1323:C1323"/>
    <mergeCell ref="J1323:P1323"/>
    <mergeCell ref="Q1323:R1323"/>
    <mergeCell ref="T1323:V1323"/>
    <mergeCell ref="Y1323:AD1323"/>
    <mergeCell ref="AF1323:AL1323"/>
    <mergeCell ref="A1322:C1322"/>
    <mergeCell ref="M1322:P1322"/>
    <mergeCell ref="Q1322:R1322"/>
    <mergeCell ref="T1322:V1322"/>
    <mergeCell ref="Y1322:AD1322"/>
    <mergeCell ref="AF1322:AL1322"/>
    <mergeCell ref="A1333:C1333"/>
    <mergeCell ref="K1333:P1333"/>
    <mergeCell ref="Q1333:R1333"/>
    <mergeCell ref="T1333:V1333"/>
    <mergeCell ref="Y1333:AD1333"/>
    <mergeCell ref="AF1333:AL1333"/>
    <mergeCell ref="A1332:C1332"/>
    <mergeCell ref="J1332:P1332"/>
    <mergeCell ref="Q1332:R1332"/>
    <mergeCell ref="T1332:V1332"/>
    <mergeCell ref="Y1332:AD1332"/>
    <mergeCell ref="AF1332:AL1332"/>
    <mergeCell ref="A1331:C1331"/>
    <mergeCell ref="I1331:P1331"/>
    <mergeCell ref="Q1331:R1331"/>
    <mergeCell ref="T1331:V1331"/>
    <mergeCell ref="Y1331:AD1331"/>
    <mergeCell ref="AF1331:AL1331"/>
    <mergeCell ref="A1330:C1330"/>
    <mergeCell ref="M1330:P1330"/>
    <mergeCell ref="Q1330:R1330"/>
    <mergeCell ref="T1330:V1330"/>
    <mergeCell ref="Y1330:AD1330"/>
    <mergeCell ref="AF1330:AL1330"/>
    <mergeCell ref="A1329:C1329"/>
    <mergeCell ref="K1329:P1329"/>
    <mergeCell ref="Q1329:R1329"/>
    <mergeCell ref="T1329:V1329"/>
    <mergeCell ref="Y1329:AD1329"/>
    <mergeCell ref="AF1329:AL1329"/>
    <mergeCell ref="A1328:C1328"/>
    <mergeCell ref="M1328:P1328"/>
    <mergeCell ref="Q1328:R1328"/>
    <mergeCell ref="T1328:V1328"/>
    <mergeCell ref="Y1328:AD1328"/>
    <mergeCell ref="AF1328:AL1328"/>
    <mergeCell ref="A1339:C1339"/>
    <mergeCell ref="M1339:P1339"/>
    <mergeCell ref="Q1339:R1339"/>
    <mergeCell ref="T1339:V1339"/>
    <mergeCell ref="Y1339:AD1339"/>
    <mergeCell ref="AF1339:AL1339"/>
    <mergeCell ref="A1338:C1338"/>
    <mergeCell ref="M1338:P1338"/>
    <mergeCell ref="Q1338:R1338"/>
    <mergeCell ref="T1338:V1338"/>
    <mergeCell ref="Y1338:AD1338"/>
    <mergeCell ref="AF1338:AL1338"/>
    <mergeCell ref="A1337:C1337"/>
    <mergeCell ref="M1337:P1337"/>
    <mergeCell ref="Q1337:R1337"/>
    <mergeCell ref="T1337:V1337"/>
    <mergeCell ref="Y1337:AD1337"/>
    <mergeCell ref="AF1337:AL1337"/>
    <mergeCell ref="A1336:C1336"/>
    <mergeCell ref="M1336:P1336"/>
    <mergeCell ref="Q1336:R1336"/>
    <mergeCell ref="T1336:V1336"/>
    <mergeCell ref="Y1336:AD1336"/>
    <mergeCell ref="AF1336:AL1336"/>
    <mergeCell ref="A1335:C1335"/>
    <mergeCell ref="M1335:P1335"/>
    <mergeCell ref="Q1335:R1335"/>
    <mergeCell ref="T1335:V1335"/>
    <mergeCell ref="Y1335:AD1335"/>
    <mergeCell ref="AF1335:AL1335"/>
    <mergeCell ref="A1334:C1334"/>
    <mergeCell ref="L1334:P1334"/>
    <mergeCell ref="Q1334:R1334"/>
    <mergeCell ref="T1334:V1334"/>
    <mergeCell ref="Y1334:AD1334"/>
    <mergeCell ref="AF1334:AL1334"/>
    <mergeCell ref="A1345:C1345"/>
    <mergeCell ref="L1345:P1345"/>
    <mergeCell ref="Q1345:R1345"/>
    <mergeCell ref="T1345:V1345"/>
    <mergeCell ref="Y1345:AD1345"/>
    <mergeCell ref="AF1345:AL1345"/>
    <mergeCell ref="A1344:C1344"/>
    <mergeCell ref="M1344:P1344"/>
    <mergeCell ref="Q1344:R1344"/>
    <mergeCell ref="T1344:V1344"/>
    <mergeCell ref="Y1344:AD1344"/>
    <mergeCell ref="AF1344:AL1344"/>
    <mergeCell ref="A1343:C1343"/>
    <mergeCell ref="M1343:P1343"/>
    <mergeCell ref="Q1343:R1343"/>
    <mergeCell ref="T1343:V1343"/>
    <mergeCell ref="Y1343:AD1343"/>
    <mergeCell ref="AF1343:AL1343"/>
    <mergeCell ref="A1342:C1342"/>
    <mergeCell ref="M1342:P1342"/>
    <mergeCell ref="Q1342:R1342"/>
    <mergeCell ref="T1342:V1342"/>
    <mergeCell ref="Y1342:AD1342"/>
    <mergeCell ref="AF1342:AL1342"/>
    <mergeCell ref="A1341:C1341"/>
    <mergeCell ref="M1341:P1341"/>
    <mergeCell ref="Q1341:R1341"/>
    <mergeCell ref="T1341:V1341"/>
    <mergeCell ref="Y1341:AD1341"/>
    <mergeCell ref="AF1341:AL1341"/>
    <mergeCell ref="A1340:C1340"/>
    <mergeCell ref="M1340:P1340"/>
    <mergeCell ref="Q1340:R1340"/>
    <mergeCell ref="T1340:V1340"/>
    <mergeCell ref="Y1340:AD1340"/>
    <mergeCell ref="AF1340:AL1340"/>
    <mergeCell ref="A1351:C1351"/>
    <mergeCell ref="M1351:P1351"/>
    <mergeCell ref="Q1351:R1351"/>
    <mergeCell ref="T1351:V1351"/>
    <mergeCell ref="Y1351:AD1351"/>
    <mergeCell ref="AF1351:AL1351"/>
    <mergeCell ref="A1350:C1350"/>
    <mergeCell ref="M1350:P1350"/>
    <mergeCell ref="Q1350:R1350"/>
    <mergeCell ref="T1350:V1350"/>
    <mergeCell ref="Y1350:AD1350"/>
    <mergeCell ref="AF1350:AL1350"/>
    <mergeCell ref="A1349:C1349"/>
    <mergeCell ref="M1349:P1349"/>
    <mergeCell ref="Q1349:R1349"/>
    <mergeCell ref="T1349:V1349"/>
    <mergeCell ref="Y1349:AD1349"/>
    <mergeCell ref="AF1349:AL1349"/>
    <mergeCell ref="A1348:C1348"/>
    <mergeCell ref="M1348:P1348"/>
    <mergeCell ref="Q1348:R1348"/>
    <mergeCell ref="T1348:V1348"/>
    <mergeCell ref="Y1348:AD1348"/>
    <mergeCell ref="AF1348:AL1348"/>
    <mergeCell ref="A1347:C1347"/>
    <mergeCell ref="M1347:P1347"/>
    <mergeCell ref="Q1347:R1347"/>
    <mergeCell ref="T1347:V1347"/>
    <mergeCell ref="Y1347:AD1347"/>
    <mergeCell ref="AF1347:AL1347"/>
    <mergeCell ref="A1346:C1346"/>
    <mergeCell ref="M1346:P1346"/>
    <mergeCell ref="Q1346:R1346"/>
    <mergeCell ref="T1346:V1346"/>
    <mergeCell ref="Y1346:AD1346"/>
    <mergeCell ref="AF1346:AL1346"/>
    <mergeCell ref="A1357:C1357"/>
    <mergeCell ref="K1357:P1357"/>
    <mergeCell ref="Q1357:R1357"/>
    <mergeCell ref="T1357:V1357"/>
    <mergeCell ref="Y1357:AD1357"/>
    <mergeCell ref="AF1357:AL1357"/>
    <mergeCell ref="A1356:C1356"/>
    <mergeCell ref="M1356:P1356"/>
    <mergeCell ref="Q1356:R1356"/>
    <mergeCell ref="T1356:V1356"/>
    <mergeCell ref="Y1356:AD1356"/>
    <mergeCell ref="AF1356:AL1356"/>
    <mergeCell ref="A1355:C1355"/>
    <mergeCell ref="M1355:P1355"/>
    <mergeCell ref="Q1355:R1355"/>
    <mergeCell ref="T1355:V1355"/>
    <mergeCell ref="Y1355:AD1355"/>
    <mergeCell ref="AF1355:AL1355"/>
    <mergeCell ref="A1354:C1354"/>
    <mergeCell ref="M1354:P1354"/>
    <mergeCell ref="Q1354:R1354"/>
    <mergeCell ref="T1354:V1354"/>
    <mergeCell ref="Y1354:AD1354"/>
    <mergeCell ref="AF1354:AL1354"/>
    <mergeCell ref="A1353:C1353"/>
    <mergeCell ref="M1353:P1353"/>
    <mergeCell ref="Q1353:R1353"/>
    <mergeCell ref="T1353:V1353"/>
    <mergeCell ref="Y1353:AD1353"/>
    <mergeCell ref="AF1353:AL1353"/>
    <mergeCell ref="A1352:C1352"/>
    <mergeCell ref="M1352:P1352"/>
    <mergeCell ref="Q1352:R1352"/>
    <mergeCell ref="T1352:V1352"/>
    <mergeCell ref="Y1352:AD1352"/>
    <mergeCell ref="AF1352:AL1352"/>
    <mergeCell ref="A1363:C1363"/>
    <mergeCell ref="M1363:P1363"/>
    <mergeCell ref="Q1363:R1363"/>
    <mergeCell ref="T1363:V1363"/>
    <mergeCell ref="Y1363:AD1363"/>
    <mergeCell ref="AF1363:AL1363"/>
    <mergeCell ref="A1362:C1362"/>
    <mergeCell ref="M1362:P1362"/>
    <mergeCell ref="Q1362:R1362"/>
    <mergeCell ref="T1362:V1362"/>
    <mergeCell ref="Y1362:AD1362"/>
    <mergeCell ref="AF1362:AL1362"/>
    <mergeCell ref="A1361:C1361"/>
    <mergeCell ref="L1361:P1361"/>
    <mergeCell ref="Q1361:R1361"/>
    <mergeCell ref="T1361:V1361"/>
    <mergeCell ref="Y1361:AD1361"/>
    <mergeCell ref="AF1361:AL1361"/>
    <mergeCell ref="A1360:C1360"/>
    <mergeCell ref="M1360:P1360"/>
    <mergeCell ref="Q1360:R1360"/>
    <mergeCell ref="T1360:V1360"/>
    <mergeCell ref="Y1360:AD1360"/>
    <mergeCell ref="AF1360:AL1360"/>
    <mergeCell ref="A1359:C1359"/>
    <mergeCell ref="M1359:P1359"/>
    <mergeCell ref="Q1359:R1359"/>
    <mergeCell ref="T1359:V1359"/>
    <mergeCell ref="Y1359:AD1359"/>
    <mergeCell ref="AF1359:AL1359"/>
    <mergeCell ref="A1358:C1358"/>
    <mergeCell ref="L1358:P1358"/>
    <mergeCell ref="Q1358:R1358"/>
    <mergeCell ref="T1358:V1358"/>
    <mergeCell ref="Y1358:AD1358"/>
    <mergeCell ref="AF1358:AL1358"/>
    <mergeCell ref="A1369:C1369"/>
    <mergeCell ref="M1369:P1369"/>
    <mergeCell ref="Q1369:R1369"/>
    <mergeCell ref="T1369:V1369"/>
    <mergeCell ref="Y1369:AD1369"/>
    <mergeCell ref="AF1369:AL1369"/>
    <mergeCell ref="A1368:C1368"/>
    <mergeCell ref="L1368:P1368"/>
    <mergeCell ref="Q1368:R1368"/>
    <mergeCell ref="T1368:V1368"/>
    <mergeCell ref="Y1368:AD1368"/>
    <mergeCell ref="AF1368:AL1368"/>
    <mergeCell ref="A1367:C1367"/>
    <mergeCell ref="M1367:P1367"/>
    <mergeCell ref="Q1367:R1367"/>
    <mergeCell ref="T1367:V1367"/>
    <mergeCell ref="Y1367:AD1367"/>
    <mergeCell ref="AF1367:AL1367"/>
    <mergeCell ref="A1366:C1366"/>
    <mergeCell ref="L1366:P1366"/>
    <mergeCell ref="Q1366:R1366"/>
    <mergeCell ref="T1366:V1366"/>
    <mergeCell ref="Y1366:AD1366"/>
    <mergeCell ref="AF1366:AL1366"/>
    <mergeCell ref="A1365:C1365"/>
    <mergeCell ref="K1365:P1365"/>
    <mergeCell ref="Q1365:R1365"/>
    <mergeCell ref="T1365:V1365"/>
    <mergeCell ref="Y1365:AD1365"/>
    <mergeCell ref="AF1365:AL1365"/>
    <mergeCell ref="A1364:C1364"/>
    <mergeCell ref="M1364:P1364"/>
    <mergeCell ref="Q1364:R1364"/>
    <mergeCell ref="T1364:V1364"/>
    <mergeCell ref="Y1364:AD1364"/>
    <mergeCell ref="AF1364:AL1364"/>
    <mergeCell ref="A1375:C1375"/>
    <mergeCell ref="L1375:P1375"/>
    <mergeCell ref="Q1375:R1375"/>
    <mergeCell ref="T1375:V1375"/>
    <mergeCell ref="Y1375:AD1375"/>
    <mergeCell ref="AF1375:AL1375"/>
    <mergeCell ref="A1374:C1374"/>
    <mergeCell ref="M1374:P1374"/>
    <mergeCell ref="Q1374:R1374"/>
    <mergeCell ref="T1374:V1374"/>
    <mergeCell ref="Y1374:AD1374"/>
    <mergeCell ref="AF1374:AL1374"/>
    <mergeCell ref="A1373:C1373"/>
    <mergeCell ref="K1373:P1373"/>
    <mergeCell ref="Q1373:R1373"/>
    <mergeCell ref="T1373:V1373"/>
    <mergeCell ref="Y1373:AD1373"/>
    <mergeCell ref="AF1373:AL1373"/>
    <mergeCell ref="A1372:C1372"/>
    <mergeCell ref="M1372:P1372"/>
    <mergeCell ref="Q1372:R1372"/>
    <mergeCell ref="T1372:V1372"/>
    <mergeCell ref="Y1372:AD1372"/>
    <mergeCell ref="AF1372:AL1372"/>
    <mergeCell ref="A1371:C1371"/>
    <mergeCell ref="L1371:P1371"/>
    <mergeCell ref="Q1371:R1371"/>
    <mergeCell ref="T1371:V1371"/>
    <mergeCell ref="Y1371:AD1371"/>
    <mergeCell ref="AF1371:AL1371"/>
    <mergeCell ref="A1370:C1370"/>
    <mergeCell ref="K1370:P1370"/>
    <mergeCell ref="Q1370:R1370"/>
    <mergeCell ref="T1370:V1370"/>
    <mergeCell ref="Y1370:AD1370"/>
    <mergeCell ref="AF1370:AL1370"/>
    <mergeCell ref="A1381:C1381"/>
    <mergeCell ref="M1381:P1381"/>
    <mergeCell ref="Q1381:R1381"/>
    <mergeCell ref="T1381:V1381"/>
    <mergeCell ref="Y1381:AD1381"/>
    <mergeCell ref="AF1381:AL1381"/>
    <mergeCell ref="A1380:C1380"/>
    <mergeCell ref="M1380:P1380"/>
    <mergeCell ref="Q1380:R1380"/>
    <mergeCell ref="T1380:V1380"/>
    <mergeCell ref="Y1380:AD1380"/>
    <mergeCell ref="AF1380:AL1380"/>
    <mergeCell ref="A1379:C1379"/>
    <mergeCell ref="M1379:P1379"/>
    <mergeCell ref="Q1379:R1379"/>
    <mergeCell ref="T1379:V1379"/>
    <mergeCell ref="Y1379:AD1379"/>
    <mergeCell ref="AF1379:AL1379"/>
    <mergeCell ref="A1378:C1378"/>
    <mergeCell ref="L1378:P1378"/>
    <mergeCell ref="Q1378:R1378"/>
    <mergeCell ref="T1378:V1378"/>
    <mergeCell ref="Y1378:AD1378"/>
    <mergeCell ref="AF1378:AL1378"/>
    <mergeCell ref="A1377:C1377"/>
    <mergeCell ref="K1377:P1377"/>
    <mergeCell ref="Q1377:R1377"/>
    <mergeCell ref="T1377:V1377"/>
    <mergeCell ref="Y1377:AD1377"/>
    <mergeCell ref="AF1377:AL1377"/>
    <mergeCell ref="A1376:C1376"/>
    <mergeCell ref="M1376:P1376"/>
    <mergeCell ref="Q1376:R1376"/>
    <mergeCell ref="T1376:V1376"/>
    <mergeCell ref="Y1376:AD1376"/>
    <mergeCell ref="AF1376:AL1376"/>
    <mergeCell ref="A1387:C1387"/>
    <mergeCell ref="M1387:P1387"/>
    <mergeCell ref="Q1387:R1387"/>
    <mergeCell ref="T1387:V1387"/>
    <mergeCell ref="Y1387:AD1387"/>
    <mergeCell ref="AF1387:AL1387"/>
    <mergeCell ref="A1386:C1386"/>
    <mergeCell ref="M1386:P1386"/>
    <mergeCell ref="Q1386:R1386"/>
    <mergeCell ref="T1386:V1386"/>
    <mergeCell ref="Y1386:AD1386"/>
    <mergeCell ref="AF1386:AL1386"/>
    <mergeCell ref="A1385:C1385"/>
    <mergeCell ref="M1385:P1385"/>
    <mergeCell ref="Q1385:R1385"/>
    <mergeCell ref="T1385:V1385"/>
    <mergeCell ref="Y1385:AD1385"/>
    <mergeCell ref="AF1385:AL1385"/>
    <mergeCell ref="A1384:C1384"/>
    <mergeCell ref="M1384:P1384"/>
    <mergeCell ref="Q1384:R1384"/>
    <mergeCell ref="T1384:V1384"/>
    <mergeCell ref="Y1384:AD1384"/>
    <mergeCell ref="AF1384:AL1384"/>
    <mergeCell ref="A1383:C1383"/>
    <mergeCell ref="L1383:P1383"/>
    <mergeCell ref="Q1383:R1383"/>
    <mergeCell ref="T1383:V1383"/>
    <mergeCell ref="Y1383:AD1383"/>
    <mergeCell ref="AF1383:AL1383"/>
    <mergeCell ref="A1382:C1382"/>
    <mergeCell ref="M1382:P1382"/>
    <mergeCell ref="Q1382:R1382"/>
    <mergeCell ref="T1382:V1382"/>
    <mergeCell ref="Y1382:AD1382"/>
    <mergeCell ref="AF1382:AL1382"/>
    <mergeCell ref="A1393:C1393"/>
    <mergeCell ref="M1393:P1393"/>
    <mergeCell ref="Q1393:R1393"/>
    <mergeCell ref="T1393:V1393"/>
    <mergeCell ref="Y1393:AD1393"/>
    <mergeCell ref="AF1393:AL1393"/>
    <mergeCell ref="A1392:C1392"/>
    <mergeCell ref="M1392:P1392"/>
    <mergeCell ref="Q1392:R1392"/>
    <mergeCell ref="T1392:V1392"/>
    <mergeCell ref="Y1392:AD1392"/>
    <mergeCell ref="AF1392:AL1392"/>
    <mergeCell ref="A1391:C1391"/>
    <mergeCell ref="L1391:P1391"/>
    <mergeCell ref="Q1391:R1391"/>
    <mergeCell ref="T1391:V1391"/>
    <mergeCell ref="Y1391:AD1391"/>
    <mergeCell ref="AF1391:AL1391"/>
    <mergeCell ref="A1390:C1390"/>
    <mergeCell ref="K1390:P1390"/>
    <mergeCell ref="Q1390:R1390"/>
    <mergeCell ref="T1390:V1390"/>
    <mergeCell ref="Y1390:AD1390"/>
    <mergeCell ref="AF1390:AL1390"/>
    <mergeCell ref="A1389:C1389"/>
    <mergeCell ref="M1389:P1389"/>
    <mergeCell ref="Q1389:R1389"/>
    <mergeCell ref="T1389:V1389"/>
    <mergeCell ref="Y1389:AD1389"/>
    <mergeCell ref="AF1389:AL1389"/>
    <mergeCell ref="A1388:C1388"/>
    <mergeCell ref="M1388:P1388"/>
    <mergeCell ref="Q1388:R1388"/>
    <mergeCell ref="T1388:V1388"/>
    <mergeCell ref="Y1388:AD1388"/>
    <mergeCell ref="AF1388:AL1388"/>
    <mergeCell ref="A1399:C1399"/>
    <mergeCell ref="M1399:P1399"/>
    <mergeCell ref="Q1399:R1399"/>
    <mergeCell ref="T1399:V1399"/>
    <mergeCell ref="Y1399:AD1399"/>
    <mergeCell ref="AF1399:AL1399"/>
    <mergeCell ref="A1398:C1398"/>
    <mergeCell ref="L1398:P1398"/>
    <mergeCell ref="Q1398:R1398"/>
    <mergeCell ref="T1398:V1398"/>
    <mergeCell ref="Y1398:AD1398"/>
    <mergeCell ref="AF1398:AL1398"/>
    <mergeCell ref="A1397:C1397"/>
    <mergeCell ref="K1397:P1397"/>
    <mergeCell ref="Q1397:R1397"/>
    <mergeCell ref="T1397:V1397"/>
    <mergeCell ref="Y1397:AD1397"/>
    <mergeCell ref="AF1397:AL1397"/>
    <mergeCell ref="A1396:C1396"/>
    <mergeCell ref="J1396:P1396"/>
    <mergeCell ref="Q1396:R1396"/>
    <mergeCell ref="T1396:V1396"/>
    <mergeCell ref="Y1396:AD1396"/>
    <mergeCell ref="AF1396:AL1396"/>
    <mergeCell ref="A1395:C1395"/>
    <mergeCell ref="M1395:P1395"/>
    <mergeCell ref="Q1395:R1395"/>
    <mergeCell ref="T1395:V1395"/>
    <mergeCell ref="Y1395:AD1395"/>
    <mergeCell ref="AF1395:AL1395"/>
    <mergeCell ref="A1394:C1394"/>
    <mergeCell ref="M1394:P1394"/>
    <mergeCell ref="Q1394:R1394"/>
    <mergeCell ref="T1394:V1394"/>
    <mergeCell ref="Y1394:AD1394"/>
    <mergeCell ref="AF1394:AL1394"/>
    <mergeCell ref="A1405:C1405"/>
    <mergeCell ref="M1405:P1405"/>
    <mergeCell ref="Q1405:R1405"/>
    <mergeCell ref="T1405:V1405"/>
    <mergeCell ref="Y1405:AD1405"/>
    <mergeCell ref="AF1405:AL1405"/>
    <mergeCell ref="A1404:C1404"/>
    <mergeCell ref="M1404:P1404"/>
    <mergeCell ref="Q1404:R1404"/>
    <mergeCell ref="T1404:V1404"/>
    <mergeCell ref="Y1404:AD1404"/>
    <mergeCell ref="AF1404:AL1404"/>
    <mergeCell ref="A1403:C1403"/>
    <mergeCell ref="M1403:P1403"/>
    <mergeCell ref="Q1403:R1403"/>
    <mergeCell ref="T1403:V1403"/>
    <mergeCell ref="Y1403:AD1403"/>
    <mergeCell ref="AF1403:AL1403"/>
    <mergeCell ref="A1402:C1402"/>
    <mergeCell ref="M1402:P1402"/>
    <mergeCell ref="Q1402:R1402"/>
    <mergeCell ref="T1402:V1402"/>
    <mergeCell ref="Y1402:AD1402"/>
    <mergeCell ref="AF1402:AL1402"/>
    <mergeCell ref="A1401:C1401"/>
    <mergeCell ref="M1401:P1401"/>
    <mergeCell ref="Q1401:R1401"/>
    <mergeCell ref="T1401:V1401"/>
    <mergeCell ref="Y1401:AD1401"/>
    <mergeCell ref="AF1401:AL1401"/>
    <mergeCell ref="A1400:C1400"/>
    <mergeCell ref="M1400:P1400"/>
    <mergeCell ref="Q1400:R1400"/>
    <mergeCell ref="T1400:V1400"/>
    <mergeCell ref="Y1400:AD1400"/>
    <mergeCell ref="AF1400:AL1400"/>
    <mergeCell ref="A1411:C1411"/>
    <mergeCell ref="M1411:P1411"/>
    <mergeCell ref="Q1411:R1411"/>
    <mergeCell ref="T1411:V1411"/>
    <mergeCell ref="Y1411:AD1411"/>
    <mergeCell ref="AF1411:AL1411"/>
    <mergeCell ref="A1410:C1410"/>
    <mergeCell ref="M1410:P1410"/>
    <mergeCell ref="Q1410:R1410"/>
    <mergeCell ref="T1410:V1410"/>
    <mergeCell ref="Y1410:AD1410"/>
    <mergeCell ref="AF1410:AL1410"/>
    <mergeCell ref="A1409:C1409"/>
    <mergeCell ref="L1409:P1409"/>
    <mergeCell ref="Q1409:R1409"/>
    <mergeCell ref="T1409:V1409"/>
    <mergeCell ref="Y1409:AD1409"/>
    <mergeCell ref="AF1409:AL1409"/>
    <mergeCell ref="A1408:C1408"/>
    <mergeCell ref="K1408:P1408"/>
    <mergeCell ref="Q1408:R1408"/>
    <mergeCell ref="T1408:V1408"/>
    <mergeCell ref="Y1408:AD1408"/>
    <mergeCell ref="AF1408:AL1408"/>
    <mergeCell ref="A1407:C1407"/>
    <mergeCell ref="M1407:P1407"/>
    <mergeCell ref="Q1407:R1407"/>
    <mergeCell ref="T1407:V1407"/>
    <mergeCell ref="Y1407:AD1407"/>
    <mergeCell ref="AF1407:AL1407"/>
    <mergeCell ref="A1406:C1406"/>
    <mergeCell ref="M1406:P1406"/>
    <mergeCell ref="Q1406:R1406"/>
    <mergeCell ref="T1406:V1406"/>
    <mergeCell ref="Y1406:AD1406"/>
    <mergeCell ref="AF1406:AL1406"/>
    <mergeCell ref="A1417:C1417"/>
    <mergeCell ref="K1417:P1417"/>
    <mergeCell ref="Q1417:R1417"/>
    <mergeCell ref="T1417:V1417"/>
    <mergeCell ref="Y1417:AD1417"/>
    <mergeCell ref="AF1417:AL1417"/>
    <mergeCell ref="A1416:C1416"/>
    <mergeCell ref="J1416:P1416"/>
    <mergeCell ref="Q1416:R1416"/>
    <mergeCell ref="T1416:V1416"/>
    <mergeCell ref="Y1416:AD1416"/>
    <mergeCell ref="AF1416:AL1416"/>
    <mergeCell ref="A1415:C1415"/>
    <mergeCell ref="M1415:P1415"/>
    <mergeCell ref="Q1415:R1415"/>
    <mergeCell ref="T1415:V1415"/>
    <mergeCell ref="Y1415:AD1415"/>
    <mergeCell ref="AF1415:AL1415"/>
    <mergeCell ref="A1414:C1414"/>
    <mergeCell ref="M1414:P1414"/>
    <mergeCell ref="Q1414:R1414"/>
    <mergeCell ref="T1414:V1414"/>
    <mergeCell ref="Y1414:AD1414"/>
    <mergeCell ref="AF1414:AL1414"/>
    <mergeCell ref="A1413:C1413"/>
    <mergeCell ref="M1413:P1413"/>
    <mergeCell ref="Q1413:R1413"/>
    <mergeCell ref="T1413:V1413"/>
    <mergeCell ref="Y1413:AD1413"/>
    <mergeCell ref="AF1413:AL1413"/>
    <mergeCell ref="A1412:C1412"/>
    <mergeCell ref="M1412:P1412"/>
    <mergeCell ref="Q1412:R1412"/>
    <mergeCell ref="T1412:V1412"/>
    <mergeCell ref="Y1412:AD1412"/>
    <mergeCell ref="AF1412:AL1412"/>
    <mergeCell ref="A1423:C1423"/>
    <mergeCell ref="M1423:P1423"/>
    <mergeCell ref="Q1423:R1423"/>
    <mergeCell ref="T1423:V1423"/>
    <mergeCell ref="Y1423:AD1423"/>
    <mergeCell ref="AF1423:AL1423"/>
    <mergeCell ref="A1422:C1422"/>
    <mergeCell ref="M1422:P1422"/>
    <mergeCell ref="Q1422:R1422"/>
    <mergeCell ref="T1422:V1422"/>
    <mergeCell ref="Y1422:AD1422"/>
    <mergeCell ref="AF1422:AL1422"/>
    <mergeCell ref="A1421:C1421"/>
    <mergeCell ref="M1421:P1421"/>
    <mergeCell ref="Q1421:R1421"/>
    <mergeCell ref="T1421:V1421"/>
    <mergeCell ref="Y1421:AD1421"/>
    <mergeCell ref="AF1421:AL1421"/>
    <mergeCell ref="A1420:C1420"/>
    <mergeCell ref="M1420:P1420"/>
    <mergeCell ref="Q1420:R1420"/>
    <mergeCell ref="T1420:V1420"/>
    <mergeCell ref="Y1420:AD1420"/>
    <mergeCell ref="AF1420:AL1420"/>
    <mergeCell ref="A1419:C1419"/>
    <mergeCell ref="M1419:P1419"/>
    <mergeCell ref="Q1419:R1419"/>
    <mergeCell ref="T1419:V1419"/>
    <mergeCell ref="Y1419:AD1419"/>
    <mergeCell ref="AF1419:AL1419"/>
    <mergeCell ref="A1418:C1418"/>
    <mergeCell ref="L1418:P1418"/>
    <mergeCell ref="Q1418:R1418"/>
    <mergeCell ref="T1418:V1418"/>
    <mergeCell ref="Y1418:AD1418"/>
    <mergeCell ref="AF1418:AL1418"/>
    <mergeCell ref="A1429:C1429"/>
    <mergeCell ref="M1429:P1429"/>
    <mergeCell ref="Q1429:R1429"/>
    <mergeCell ref="T1429:V1429"/>
    <mergeCell ref="Y1429:AD1429"/>
    <mergeCell ref="AF1429:AL1429"/>
    <mergeCell ref="A1428:C1428"/>
    <mergeCell ref="M1428:P1428"/>
    <mergeCell ref="Q1428:R1428"/>
    <mergeCell ref="T1428:V1428"/>
    <mergeCell ref="Y1428:AD1428"/>
    <mergeCell ref="AF1428:AL1428"/>
    <mergeCell ref="A1427:C1427"/>
    <mergeCell ref="M1427:P1427"/>
    <mergeCell ref="Q1427:R1427"/>
    <mergeCell ref="T1427:V1427"/>
    <mergeCell ref="Y1427:AD1427"/>
    <mergeCell ref="AF1427:AL1427"/>
    <mergeCell ref="A1426:C1426"/>
    <mergeCell ref="M1426:P1426"/>
    <mergeCell ref="Q1426:R1426"/>
    <mergeCell ref="T1426:V1426"/>
    <mergeCell ref="Y1426:AD1426"/>
    <mergeCell ref="AF1426:AL1426"/>
    <mergeCell ref="A1425:C1425"/>
    <mergeCell ref="L1425:P1425"/>
    <mergeCell ref="Q1425:R1425"/>
    <mergeCell ref="T1425:V1425"/>
    <mergeCell ref="Y1425:AD1425"/>
    <mergeCell ref="AF1425:AL1425"/>
    <mergeCell ref="A1424:C1424"/>
    <mergeCell ref="M1424:P1424"/>
    <mergeCell ref="Q1424:R1424"/>
    <mergeCell ref="T1424:V1424"/>
    <mergeCell ref="Y1424:AD1424"/>
    <mergeCell ref="AF1424:AL1424"/>
    <mergeCell ref="A1435:C1435"/>
    <mergeCell ref="M1435:P1435"/>
    <mergeCell ref="Q1435:R1435"/>
    <mergeCell ref="T1435:V1435"/>
    <mergeCell ref="Y1435:AD1435"/>
    <mergeCell ref="AF1435:AL1435"/>
    <mergeCell ref="A1434:C1434"/>
    <mergeCell ref="K1434:P1434"/>
    <mergeCell ref="Q1434:R1434"/>
    <mergeCell ref="T1434:V1434"/>
    <mergeCell ref="Y1434:AD1434"/>
    <mergeCell ref="AF1434:AL1434"/>
    <mergeCell ref="A1433:C1433"/>
    <mergeCell ref="M1433:P1433"/>
    <mergeCell ref="Q1433:R1433"/>
    <mergeCell ref="T1433:V1433"/>
    <mergeCell ref="Y1433:AD1433"/>
    <mergeCell ref="AF1433:AL1433"/>
    <mergeCell ref="A1432:C1432"/>
    <mergeCell ref="M1432:P1432"/>
    <mergeCell ref="Q1432:R1432"/>
    <mergeCell ref="T1432:V1432"/>
    <mergeCell ref="Y1432:AD1432"/>
    <mergeCell ref="AF1432:AL1432"/>
    <mergeCell ref="A1431:C1431"/>
    <mergeCell ref="M1431:P1431"/>
    <mergeCell ref="Q1431:R1431"/>
    <mergeCell ref="T1431:V1431"/>
    <mergeCell ref="Y1431:AD1431"/>
    <mergeCell ref="AF1431:AL1431"/>
    <mergeCell ref="A1430:C1430"/>
    <mergeCell ref="M1430:P1430"/>
    <mergeCell ref="Q1430:R1430"/>
    <mergeCell ref="T1430:V1430"/>
    <mergeCell ref="Y1430:AD1430"/>
    <mergeCell ref="AF1430:AL1430"/>
    <mergeCell ref="A1441:C1441"/>
    <mergeCell ref="J1441:P1441"/>
    <mergeCell ref="Q1441:R1441"/>
    <mergeCell ref="T1441:V1441"/>
    <mergeCell ref="Y1441:AD1441"/>
    <mergeCell ref="AF1441:AL1441"/>
    <mergeCell ref="A1440:C1440"/>
    <mergeCell ref="M1440:P1440"/>
    <mergeCell ref="Q1440:R1440"/>
    <mergeCell ref="T1440:V1440"/>
    <mergeCell ref="Y1440:AD1440"/>
    <mergeCell ref="AF1440:AL1440"/>
    <mergeCell ref="A1439:C1439"/>
    <mergeCell ref="M1439:P1439"/>
    <mergeCell ref="Q1439:R1439"/>
    <mergeCell ref="T1439:V1439"/>
    <mergeCell ref="Y1439:AD1439"/>
    <mergeCell ref="AF1439:AL1439"/>
    <mergeCell ref="A1438:C1438"/>
    <mergeCell ref="M1438:P1438"/>
    <mergeCell ref="Q1438:R1438"/>
    <mergeCell ref="T1438:V1438"/>
    <mergeCell ref="Y1438:AD1438"/>
    <mergeCell ref="AF1438:AL1438"/>
    <mergeCell ref="A1437:C1437"/>
    <mergeCell ref="M1437:P1437"/>
    <mergeCell ref="Q1437:R1437"/>
    <mergeCell ref="T1437:V1437"/>
    <mergeCell ref="Y1437:AD1437"/>
    <mergeCell ref="AF1437:AL1437"/>
    <mergeCell ref="A1436:C1436"/>
    <mergeCell ref="L1436:P1436"/>
    <mergeCell ref="Q1436:R1436"/>
    <mergeCell ref="T1436:V1436"/>
    <mergeCell ref="Y1436:AD1436"/>
    <mergeCell ref="AF1436:AL1436"/>
    <mergeCell ref="A1447:C1447"/>
    <mergeCell ref="M1447:P1447"/>
    <mergeCell ref="Q1447:R1447"/>
    <mergeCell ref="T1447:V1447"/>
    <mergeCell ref="Y1447:AD1447"/>
    <mergeCell ref="AF1447:AL1447"/>
    <mergeCell ref="A1446:C1446"/>
    <mergeCell ref="M1446:P1446"/>
    <mergeCell ref="Q1446:R1446"/>
    <mergeCell ref="T1446:V1446"/>
    <mergeCell ref="Y1446:AD1446"/>
    <mergeCell ref="AF1446:AL1446"/>
    <mergeCell ref="A1445:C1445"/>
    <mergeCell ref="M1445:P1445"/>
    <mergeCell ref="Q1445:R1445"/>
    <mergeCell ref="T1445:V1445"/>
    <mergeCell ref="Y1445:AD1445"/>
    <mergeCell ref="AF1445:AL1445"/>
    <mergeCell ref="A1444:C1444"/>
    <mergeCell ref="M1444:P1444"/>
    <mergeCell ref="Q1444:R1444"/>
    <mergeCell ref="T1444:V1444"/>
    <mergeCell ref="Y1444:AD1444"/>
    <mergeCell ref="AF1444:AL1444"/>
    <mergeCell ref="A1443:C1443"/>
    <mergeCell ref="L1443:P1443"/>
    <mergeCell ref="Q1443:R1443"/>
    <mergeCell ref="T1443:V1443"/>
    <mergeCell ref="Y1443:AD1443"/>
    <mergeCell ref="AF1443:AL1443"/>
    <mergeCell ref="A1442:C1442"/>
    <mergeCell ref="K1442:P1442"/>
    <mergeCell ref="Q1442:R1442"/>
    <mergeCell ref="T1442:V1442"/>
    <mergeCell ref="Y1442:AD1442"/>
    <mergeCell ref="AF1442:AL1442"/>
    <mergeCell ref="A1453:C1453"/>
    <mergeCell ref="M1453:P1453"/>
    <mergeCell ref="Q1453:R1453"/>
    <mergeCell ref="T1453:V1453"/>
    <mergeCell ref="Y1453:AD1453"/>
    <mergeCell ref="AF1453:AL1453"/>
    <mergeCell ref="A1452:C1452"/>
    <mergeCell ref="M1452:P1452"/>
    <mergeCell ref="Q1452:R1452"/>
    <mergeCell ref="T1452:V1452"/>
    <mergeCell ref="Y1452:AD1452"/>
    <mergeCell ref="AF1452:AL1452"/>
    <mergeCell ref="A1451:C1451"/>
    <mergeCell ref="M1451:P1451"/>
    <mergeCell ref="Q1451:R1451"/>
    <mergeCell ref="T1451:V1451"/>
    <mergeCell ref="Y1451:AD1451"/>
    <mergeCell ref="AF1451:AL1451"/>
    <mergeCell ref="A1450:C1450"/>
    <mergeCell ref="M1450:P1450"/>
    <mergeCell ref="Q1450:R1450"/>
    <mergeCell ref="T1450:V1450"/>
    <mergeCell ref="Y1450:AD1450"/>
    <mergeCell ref="AF1450:AL1450"/>
    <mergeCell ref="A1449:C1449"/>
    <mergeCell ref="L1449:P1449"/>
    <mergeCell ref="Q1449:R1449"/>
    <mergeCell ref="T1449:V1449"/>
    <mergeCell ref="Y1449:AD1449"/>
    <mergeCell ref="AF1449:AL1449"/>
    <mergeCell ref="A1448:C1448"/>
    <mergeCell ref="M1448:P1448"/>
    <mergeCell ref="Q1448:R1448"/>
    <mergeCell ref="T1448:V1448"/>
    <mergeCell ref="Y1448:AD1448"/>
    <mergeCell ref="AF1448:AL1448"/>
    <mergeCell ref="A1459:C1459"/>
    <mergeCell ref="M1459:P1459"/>
    <mergeCell ref="Q1459:R1459"/>
    <mergeCell ref="T1459:V1459"/>
    <mergeCell ref="Y1459:AD1459"/>
    <mergeCell ref="AF1459:AL1459"/>
    <mergeCell ref="A1458:C1458"/>
    <mergeCell ref="M1458:P1458"/>
    <mergeCell ref="Q1458:R1458"/>
    <mergeCell ref="T1458:V1458"/>
    <mergeCell ref="Y1458:AD1458"/>
    <mergeCell ref="AF1458:AL1458"/>
    <mergeCell ref="A1457:C1457"/>
    <mergeCell ref="M1457:P1457"/>
    <mergeCell ref="Q1457:R1457"/>
    <mergeCell ref="T1457:V1457"/>
    <mergeCell ref="Y1457:AD1457"/>
    <mergeCell ref="AF1457:AL1457"/>
    <mergeCell ref="A1456:C1456"/>
    <mergeCell ref="M1456:P1456"/>
    <mergeCell ref="Q1456:R1456"/>
    <mergeCell ref="T1456:V1456"/>
    <mergeCell ref="Y1456:AD1456"/>
    <mergeCell ref="AF1456:AL1456"/>
    <mergeCell ref="A1455:C1455"/>
    <mergeCell ref="M1455:P1455"/>
    <mergeCell ref="Q1455:R1455"/>
    <mergeCell ref="T1455:V1455"/>
    <mergeCell ref="Y1455:AD1455"/>
    <mergeCell ref="AF1455:AL1455"/>
    <mergeCell ref="A1454:C1454"/>
    <mergeCell ref="M1454:P1454"/>
    <mergeCell ref="Q1454:R1454"/>
    <mergeCell ref="T1454:V1454"/>
    <mergeCell ref="Y1454:AD1454"/>
    <mergeCell ref="AF1454:AL1454"/>
    <mergeCell ref="A1465:C1465"/>
    <mergeCell ref="M1465:P1465"/>
    <mergeCell ref="Q1465:R1465"/>
    <mergeCell ref="T1465:V1465"/>
    <mergeCell ref="Y1465:AD1465"/>
    <mergeCell ref="AF1465:AL1465"/>
    <mergeCell ref="A1464:C1464"/>
    <mergeCell ref="M1464:P1464"/>
    <mergeCell ref="Q1464:R1464"/>
    <mergeCell ref="T1464:V1464"/>
    <mergeCell ref="Y1464:AD1464"/>
    <mergeCell ref="AF1464:AL1464"/>
    <mergeCell ref="A1463:C1463"/>
    <mergeCell ref="M1463:P1463"/>
    <mergeCell ref="Q1463:R1463"/>
    <mergeCell ref="T1463:V1463"/>
    <mergeCell ref="Y1463:AD1463"/>
    <mergeCell ref="AF1463:AL1463"/>
    <mergeCell ref="A1462:C1462"/>
    <mergeCell ref="M1462:P1462"/>
    <mergeCell ref="Q1462:R1462"/>
    <mergeCell ref="T1462:V1462"/>
    <mergeCell ref="Y1462:AD1462"/>
    <mergeCell ref="AF1462:AL1462"/>
    <mergeCell ref="A1461:C1461"/>
    <mergeCell ref="M1461:P1461"/>
    <mergeCell ref="Q1461:R1461"/>
    <mergeCell ref="T1461:V1461"/>
    <mergeCell ref="Y1461:AD1461"/>
    <mergeCell ref="AF1461:AL1461"/>
    <mergeCell ref="A1460:C1460"/>
    <mergeCell ref="M1460:P1460"/>
    <mergeCell ref="Q1460:R1460"/>
    <mergeCell ref="T1460:V1460"/>
    <mergeCell ref="Y1460:AD1460"/>
    <mergeCell ref="AF1460:AL1460"/>
    <mergeCell ref="A1471:C1471"/>
    <mergeCell ref="M1471:P1471"/>
    <mergeCell ref="Q1471:R1471"/>
    <mergeCell ref="T1471:V1471"/>
    <mergeCell ref="Y1471:AD1471"/>
    <mergeCell ref="AF1471:AL1471"/>
    <mergeCell ref="A1470:C1470"/>
    <mergeCell ref="M1470:P1470"/>
    <mergeCell ref="Q1470:R1470"/>
    <mergeCell ref="T1470:V1470"/>
    <mergeCell ref="Y1470:AD1470"/>
    <mergeCell ref="AF1470:AL1470"/>
    <mergeCell ref="A1469:C1469"/>
    <mergeCell ref="M1469:P1469"/>
    <mergeCell ref="Q1469:R1469"/>
    <mergeCell ref="T1469:V1469"/>
    <mergeCell ref="Y1469:AD1469"/>
    <mergeCell ref="AF1469:AL1469"/>
    <mergeCell ref="A1468:C1468"/>
    <mergeCell ref="M1468:P1468"/>
    <mergeCell ref="Q1468:R1468"/>
    <mergeCell ref="T1468:V1468"/>
    <mergeCell ref="Y1468:AD1468"/>
    <mergeCell ref="AF1468:AL1468"/>
    <mergeCell ref="A1467:C1467"/>
    <mergeCell ref="M1467:P1467"/>
    <mergeCell ref="Q1467:R1467"/>
    <mergeCell ref="T1467:V1467"/>
    <mergeCell ref="Y1467:AD1467"/>
    <mergeCell ref="AF1467:AL1467"/>
    <mergeCell ref="A1466:C1466"/>
    <mergeCell ref="M1466:P1466"/>
    <mergeCell ref="Q1466:R1466"/>
    <mergeCell ref="T1466:V1466"/>
    <mergeCell ref="Y1466:AD1466"/>
    <mergeCell ref="AF1466:AL1466"/>
    <mergeCell ref="A1477:C1477"/>
    <mergeCell ref="J1477:P1477"/>
    <mergeCell ref="Q1477:R1477"/>
    <mergeCell ref="T1477:V1477"/>
    <mergeCell ref="Y1477:AD1477"/>
    <mergeCell ref="AF1477:AL1477"/>
    <mergeCell ref="A1476:C1476"/>
    <mergeCell ref="M1476:P1476"/>
    <mergeCell ref="Q1476:R1476"/>
    <mergeCell ref="T1476:V1476"/>
    <mergeCell ref="Y1476:AD1476"/>
    <mergeCell ref="AF1476:AL1476"/>
    <mergeCell ref="A1475:C1475"/>
    <mergeCell ref="M1475:P1475"/>
    <mergeCell ref="Q1475:R1475"/>
    <mergeCell ref="T1475:V1475"/>
    <mergeCell ref="Y1475:AD1475"/>
    <mergeCell ref="AF1475:AL1475"/>
    <mergeCell ref="A1474:C1474"/>
    <mergeCell ref="L1474:P1474"/>
    <mergeCell ref="Q1474:R1474"/>
    <mergeCell ref="T1474:V1474"/>
    <mergeCell ref="Y1474:AD1474"/>
    <mergeCell ref="AF1474:AL1474"/>
    <mergeCell ref="A1473:C1473"/>
    <mergeCell ref="K1473:P1473"/>
    <mergeCell ref="Q1473:R1473"/>
    <mergeCell ref="T1473:V1473"/>
    <mergeCell ref="Y1473:AD1473"/>
    <mergeCell ref="AF1473:AL1473"/>
    <mergeCell ref="A1472:C1472"/>
    <mergeCell ref="J1472:P1472"/>
    <mergeCell ref="Q1472:R1472"/>
    <mergeCell ref="T1472:V1472"/>
    <mergeCell ref="Y1472:AD1472"/>
    <mergeCell ref="AF1472:AL1472"/>
    <mergeCell ref="A1483:C1483"/>
    <mergeCell ref="L1483:P1483"/>
    <mergeCell ref="Q1483:R1483"/>
    <mergeCell ref="T1483:V1483"/>
    <mergeCell ref="Y1483:AD1483"/>
    <mergeCell ref="AF1483:AL1483"/>
    <mergeCell ref="A1482:C1482"/>
    <mergeCell ref="K1482:P1482"/>
    <mergeCell ref="Q1482:R1482"/>
    <mergeCell ref="T1482:V1482"/>
    <mergeCell ref="Y1482:AD1482"/>
    <mergeCell ref="AF1482:AL1482"/>
    <mergeCell ref="A1481:C1481"/>
    <mergeCell ref="J1481:P1481"/>
    <mergeCell ref="Q1481:R1481"/>
    <mergeCell ref="T1481:V1481"/>
    <mergeCell ref="Y1481:AD1481"/>
    <mergeCell ref="AF1481:AL1481"/>
    <mergeCell ref="A1480:C1480"/>
    <mergeCell ref="M1480:P1480"/>
    <mergeCell ref="Q1480:R1480"/>
    <mergeCell ref="T1480:V1480"/>
    <mergeCell ref="Y1480:AD1480"/>
    <mergeCell ref="AF1480:AL1480"/>
    <mergeCell ref="A1479:C1479"/>
    <mergeCell ref="L1479:P1479"/>
    <mergeCell ref="Q1479:R1479"/>
    <mergeCell ref="T1479:V1479"/>
    <mergeCell ref="Y1479:AD1479"/>
    <mergeCell ref="AF1479:AL1479"/>
    <mergeCell ref="A1478:C1478"/>
    <mergeCell ref="K1478:P1478"/>
    <mergeCell ref="Q1478:R1478"/>
    <mergeCell ref="T1478:V1478"/>
    <mergeCell ref="Y1478:AD1478"/>
    <mergeCell ref="AF1478:AL1478"/>
    <mergeCell ref="A1489:C1489"/>
    <mergeCell ref="L1489:P1489"/>
    <mergeCell ref="Q1489:R1489"/>
    <mergeCell ref="T1489:V1489"/>
    <mergeCell ref="Y1489:AD1489"/>
    <mergeCell ref="AF1489:AL1489"/>
    <mergeCell ref="A1488:C1488"/>
    <mergeCell ref="M1488:P1488"/>
    <mergeCell ref="Q1488:R1488"/>
    <mergeCell ref="T1488:V1488"/>
    <mergeCell ref="Y1488:AD1488"/>
    <mergeCell ref="AF1488:AL1488"/>
    <mergeCell ref="A1487:C1487"/>
    <mergeCell ref="L1487:P1487"/>
    <mergeCell ref="Q1487:R1487"/>
    <mergeCell ref="T1487:V1487"/>
    <mergeCell ref="Y1487:AD1487"/>
    <mergeCell ref="AF1487:AL1487"/>
    <mergeCell ref="A1486:C1486"/>
    <mergeCell ref="K1486:P1486"/>
    <mergeCell ref="Q1486:R1486"/>
    <mergeCell ref="T1486:V1486"/>
    <mergeCell ref="Y1486:AD1486"/>
    <mergeCell ref="AF1486:AL1486"/>
    <mergeCell ref="A1485:C1485"/>
    <mergeCell ref="J1485:P1485"/>
    <mergeCell ref="Q1485:R1485"/>
    <mergeCell ref="T1485:V1485"/>
    <mergeCell ref="Y1485:AD1485"/>
    <mergeCell ref="AF1485:AL1485"/>
    <mergeCell ref="A1484:C1484"/>
    <mergeCell ref="M1484:P1484"/>
    <mergeCell ref="Q1484:R1484"/>
    <mergeCell ref="T1484:V1484"/>
    <mergeCell ref="Y1484:AD1484"/>
    <mergeCell ref="AF1484:AL1484"/>
    <mergeCell ref="A1495:C1495"/>
    <mergeCell ref="L1495:P1495"/>
    <mergeCell ref="Q1495:R1495"/>
    <mergeCell ref="T1495:V1495"/>
    <mergeCell ref="Y1495:AD1495"/>
    <mergeCell ref="AF1495:AL1495"/>
    <mergeCell ref="A1494:C1494"/>
    <mergeCell ref="K1494:P1494"/>
    <mergeCell ref="Q1494:R1494"/>
    <mergeCell ref="T1494:V1494"/>
    <mergeCell ref="Y1494:AD1494"/>
    <mergeCell ref="AF1494:AL1494"/>
    <mergeCell ref="A1493:C1493"/>
    <mergeCell ref="J1493:P1493"/>
    <mergeCell ref="Q1493:R1493"/>
    <mergeCell ref="T1493:V1493"/>
    <mergeCell ref="Y1493:AD1493"/>
    <mergeCell ref="AF1493:AL1493"/>
    <mergeCell ref="A1492:C1492"/>
    <mergeCell ref="M1492:P1492"/>
    <mergeCell ref="Q1492:R1492"/>
    <mergeCell ref="T1492:V1492"/>
    <mergeCell ref="Y1492:AD1492"/>
    <mergeCell ref="AF1492:AL1492"/>
    <mergeCell ref="A1491:C1491"/>
    <mergeCell ref="M1491:P1491"/>
    <mergeCell ref="Q1491:R1491"/>
    <mergeCell ref="T1491:V1491"/>
    <mergeCell ref="Y1491:AD1491"/>
    <mergeCell ref="AF1491:AL1491"/>
    <mergeCell ref="A1490:C1490"/>
    <mergeCell ref="M1490:P1490"/>
    <mergeCell ref="Q1490:R1490"/>
    <mergeCell ref="T1490:V1490"/>
    <mergeCell ref="Y1490:AD1490"/>
    <mergeCell ref="AF1490:AL1490"/>
    <mergeCell ref="A1501:C1501"/>
    <mergeCell ref="K1501:P1501"/>
    <mergeCell ref="Q1501:R1501"/>
    <mergeCell ref="T1501:V1501"/>
    <mergeCell ref="Y1501:AD1501"/>
    <mergeCell ref="AF1501:AL1501"/>
    <mergeCell ref="A1500:C1500"/>
    <mergeCell ref="J1500:P1500"/>
    <mergeCell ref="Q1500:R1500"/>
    <mergeCell ref="T1500:V1500"/>
    <mergeCell ref="Y1500:AD1500"/>
    <mergeCell ref="AF1500:AL1500"/>
    <mergeCell ref="A1499:C1499"/>
    <mergeCell ref="M1499:P1499"/>
    <mergeCell ref="Q1499:R1499"/>
    <mergeCell ref="T1499:V1499"/>
    <mergeCell ref="Y1499:AD1499"/>
    <mergeCell ref="AF1499:AL1499"/>
    <mergeCell ref="A1498:C1498"/>
    <mergeCell ref="M1498:P1498"/>
    <mergeCell ref="Q1498:R1498"/>
    <mergeCell ref="T1498:V1498"/>
    <mergeCell ref="Y1498:AD1498"/>
    <mergeCell ref="AF1498:AL1498"/>
    <mergeCell ref="A1497:C1497"/>
    <mergeCell ref="L1497:P1497"/>
    <mergeCell ref="Q1497:R1497"/>
    <mergeCell ref="T1497:V1497"/>
    <mergeCell ref="Y1497:AD1497"/>
    <mergeCell ref="AF1497:AL1497"/>
    <mergeCell ref="A1496:C1496"/>
    <mergeCell ref="M1496:P1496"/>
    <mergeCell ref="Q1496:R1496"/>
    <mergeCell ref="T1496:V1496"/>
    <mergeCell ref="Y1496:AD1496"/>
    <mergeCell ref="AF1496:AL1496"/>
    <mergeCell ref="A1507:C1507"/>
    <mergeCell ref="K1507:P1507"/>
    <mergeCell ref="Q1507:R1507"/>
    <mergeCell ref="T1507:V1507"/>
    <mergeCell ref="Y1507:AD1507"/>
    <mergeCell ref="AF1507:AL1507"/>
    <mergeCell ref="A1506:C1506"/>
    <mergeCell ref="M1506:P1506"/>
    <mergeCell ref="Q1506:R1506"/>
    <mergeCell ref="T1506:V1506"/>
    <mergeCell ref="Y1506:AD1506"/>
    <mergeCell ref="AF1506:AL1506"/>
    <mergeCell ref="A1505:C1505"/>
    <mergeCell ref="L1505:P1505"/>
    <mergeCell ref="Q1505:R1505"/>
    <mergeCell ref="T1505:V1505"/>
    <mergeCell ref="Y1505:AD1505"/>
    <mergeCell ref="AF1505:AL1505"/>
    <mergeCell ref="A1504:C1504"/>
    <mergeCell ref="K1504:P1504"/>
    <mergeCell ref="Q1504:R1504"/>
    <mergeCell ref="T1504:V1504"/>
    <mergeCell ref="Y1504:AD1504"/>
    <mergeCell ref="AF1504:AL1504"/>
    <mergeCell ref="A1503:C1503"/>
    <mergeCell ref="J1503:P1503"/>
    <mergeCell ref="Q1503:R1503"/>
    <mergeCell ref="T1503:V1503"/>
    <mergeCell ref="Y1503:AD1503"/>
    <mergeCell ref="AF1503:AL1503"/>
    <mergeCell ref="A1502:C1502"/>
    <mergeCell ref="M1502:P1502"/>
    <mergeCell ref="Q1502:R1502"/>
    <mergeCell ref="T1502:V1502"/>
    <mergeCell ref="Y1502:AD1502"/>
    <mergeCell ref="AF1502:AL1502"/>
    <mergeCell ref="A1513:C1513"/>
    <mergeCell ref="M1513:P1513"/>
    <mergeCell ref="Q1513:R1513"/>
    <mergeCell ref="T1513:V1513"/>
    <mergeCell ref="Y1513:AD1513"/>
    <mergeCell ref="AF1513:AL1513"/>
    <mergeCell ref="A1512:C1512"/>
    <mergeCell ref="M1512:P1512"/>
    <mergeCell ref="Q1512:R1512"/>
    <mergeCell ref="T1512:V1512"/>
    <mergeCell ref="Y1512:AD1512"/>
    <mergeCell ref="AF1512:AL1512"/>
    <mergeCell ref="A1511:C1511"/>
    <mergeCell ref="M1511:P1511"/>
    <mergeCell ref="Q1511:R1511"/>
    <mergeCell ref="T1511:V1511"/>
    <mergeCell ref="Y1511:AD1511"/>
    <mergeCell ref="AF1511:AL1511"/>
    <mergeCell ref="A1510:C1510"/>
    <mergeCell ref="M1510:P1510"/>
    <mergeCell ref="Q1510:R1510"/>
    <mergeCell ref="T1510:V1510"/>
    <mergeCell ref="Y1510:AD1510"/>
    <mergeCell ref="AF1510:AL1510"/>
    <mergeCell ref="A1509:C1509"/>
    <mergeCell ref="L1509:P1509"/>
    <mergeCell ref="Q1509:R1509"/>
    <mergeCell ref="T1509:V1509"/>
    <mergeCell ref="Y1509:AD1509"/>
    <mergeCell ref="AF1509:AL1509"/>
    <mergeCell ref="A1508:C1508"/>
    <mergeCell ref="M1508:P1508"/>
    <mergeCell ref="Q1508:R1508"/>
    <mergeCell ref="T1508:V1508"/>
    <mergeCell ref="Y1508:AD1508"/>
    <mergeCell ref="AF1508:AL1508"/>
    <mergeCell ref="A1519:C1519"/>
    <mergeCell ref="K1519:P1519"/>
    <mergeCell ref="Q1519:R1519"/>
    <mergeCell ref="T1519:V1519"/>
    <mergeCell ref="Y1519:AD1519"/>
    <mergeCell ref="AF1519:AL1519"/>
    <mergeCell ref="A1518:C1518"/>
    <mergeCell ref="J1518:P1518"/>
    <mergeCell ref="Q1518:R1518"/>
    <mergeCell ref="T1518:V1518"/>
    <mergeCell ref="Y1518:AD1518"/>
    <mergeCell ref="AF1518:AL1518"/>
    <mergeCell ref="A1517:C1517"/>
    <mergeCell ref="M1517:P1517"/>
    <mergeCell ref="Q1517:R1517"/>
    <mergeCell ref="T1517:V1517"/>
    <mergeCell ref="Y1517:AD1517"/>
    <mergeCell ref="AF1517:AL1517"/>
    <mergeCell ref="A1516:C1516"/>
    <mergeCell ref="M1516:P1516"/>
    <mergeCell ref="Q1516:R1516"/>
    <mergeCell ref="T1516:V1516"/>
    <mergeCell ref="Y1516:AD1516"/>
    <mergeCell ref="AF1516:AL1516"/>
    <mergeCell ref="A1515:C1515"/>
    <mergeCell ref="M1515:P1515"/>
    <mergeCell ref="Q1515:R1515"/>
    <mergeCell ref="T1515:V1515"/>
    <mergeCell ref="Y1515:AD1515"/>
    <mergeCell ref="AF1515:AL1515"/>
    <mergeCell ref="A1514:C1514"/>
    <mergeCell ref="M1514:P1514"/>
    <mergeCell ref="Q1514:R1514"/>
    <mergeCell ref="T1514:V1514"/>
    <mergeCell ref="Y1514:AD1514"/>
    <mergeCell ref="AF1514:AL1514"/>
    <mergeCell ref="A1525:C1525"/>
    <mergeCell ref="K1525:P1525"/>
    <mergeCell ref="Q1525:R1525"/>
    <mergeCell ref="T1525:V1525"/>
    <mergeCell ref="Y1525:AD1525"/>
    <mergeCell ref="AF1525:AL1525"/>
    <mergeCell ref="A1524:C1524"/>
    <mergeCell ref="J1524:P1524"/>
    <mergeCell ref="Q1524:R1524"/>
    <mergeCell ref="T1524:V1524"/>
    <mergeCell ref="Y1524:AD1524"/>
    <mergeCell ref="AF1524:AL1524"/>
    <mergeCell ref="A1523:C1523"/>
    <mergeCell ref="M1523:P1523"/>
    <mergeCell ref="Q1523:R1523"/>
    <mergeCell ref="T1523:V1523"/>
    <mergeCell ref="Y1523:AD1523"/>
    <mergeCell ref="AF1523:AL1523"/>
    <mergeCell ref="A1522:C1522"/>
    <mergeCell ref="K1522:P1522"/>
    <mergeCell ref="Q1522:R1522"/>
    <mergeCell ref="T1522:V1522"/>
    <mergeCell ref="Y1522:AD1522"/>
    <mergeCell ref="AF1522:AL1522"/>
    <mergeCell ref="A1521:C1521"/>
    <mergeCell ref="J1521:P1521"/>
    <mergeCell ref="Q1521:R1521"/>
    <mergeCell ref="T1521:V1521"/>
    <mergeCell ref="Y1521:AD1521"/>
    <mergeCell ref="AF1521:AL1521"/>
    <mergeCell ref="A1520:C1520"/>
    <mergeCell ref="M1520:P1520"/>
    <mergeCell ref="Q1520:R1520"/>
    <mergeCell ref="T1520:V1520"/>
    <mergeCell ref="Y1520:AD1520"/>
    <mergeCell ref="AF1520:AL1520"/>
    <mergeCell ref="A1531:C1531"/>
    <mergeCell ref="K1531:P1531"/>
    <mergeCell ref="Q1531:R1531"/>
    <mergeCell ref="T1531:V1531"/>
    <mergeCell ref="Y1531:AD1531"/>
    <mergeCell ref="AF1531:AL1531"/>
    <mergeCell ref="A1530:C1530"/>
    <mergeCell ref="J1530:P1530"/>
    <mergeCell ref="Q1530:R1530"/>
    <mergeCell ref="T1530:V1530"/>
    <mergeCell ref="Y1530:AD1530"/>
    <mergeCell ref="AF1530:AL1530"/>
    <mergeCell ref="A1529:C1529"/>
    <mergeCell ref="M1529:P1529"/>
    <mergeCell ref="Q1529:R1529"/>
    <mergeCell ref="T1529:V1529"/>
    <mergeCell ref="Y1529:AD1529"/>
    <mergeCell ref="AF1529:AL1529"/>
    <mergeCell ref="A1528:C1528"/>
    <mergeCell ref="K1528:P1528"/>
    <mergeCell ref="Q1528:R1528"/>
    <mergeCell ref="T1528:V1528"/>
    <mergeCell ref="Y1528:AD1528"/>
    <mergeCell ref="AF1528:AL1528"/>
    <mergeCell ref="A1527:C1527"/>
    <mergeCell ref="J1527:P1527"/>
    <mergeCell ref="Q1527:R1527"/>
    <mergeCell ref="T1527:V1527"/>
    <mergeCell ref="Y1527:AD1527"/>
    <mergeCell ref="AF1527:AL1527"/>
    <mergeCell ref="A1526:C1526"/>
    <mergeCell ref="M1526:P1526"/>
    <mergeCell ref="Q1526:R1526"/>
    <mergeCell ref="T1526:V1526"/>
    <mergeCell ref="Y1526:AD1526"/>
    <mergeCell ref="AF1526:AL1526"/>
    <mergeCell ref="A1537:C1537"/>
    <mergeCell ref="K1537:P1537"/>
    <mergeCell ref="Q1537:R1537"/>
    <mergeCell ref="T1537:V1537"/>
    <mergeCell ref="Y1537:AD1537"/>
    <mergeCell ref="AF1537:AL1537"/>
    <mergeCell ref="A1536:C1536"/>
    <mergeCell ref="J1536:P1536"/>
    <mergeCell ref="Q1536:R1536"/>
    <mergeCell ref="T1536:V1536"/>
    <mergeCell ref="Y1536:AD1536"/>
    <mergeCell ref="AF1536:AL1536"/>
    <mergeCell ref="A1535:C1535"/>
    <mergeCell ref="M1535:P1535"/>
    <mergeCell ref="Q1535:R1535"/>
    <mergeCell ref="T1535:V1535"/>
    <mergeCell ref="Y1535:AD1535"/>
    <mergeCell ref="AF1535:AL1535"/>
    <mergeCell ref="A1534:C1534"/>
    <mergeCell ref="K1534:P1534"/>
    <mergeCell ref="Q1534:R1534"/>
    <mergeCell ref="T1534:V1534"/>
    <mergeCell ref="Y1534:AD1534"/>
    <mergeCell ref="AF1534:AL1534"/>
    <mergeCell ref="A1533:C1533"/>
    <mergeCell ref="J1533:P1533"/>
    <mergeCell ref="Q1533:R1533"/>
    <mergeCell ref="T1533:V1533"/>
    <mergeCell ref="Y1533:AD1533"/>
    <mergeCell ref="AF1533:AL1533"/>
    <mergeCell ref="A1532:C1532"/>
    <mergeCell ref="M1532:P1532"/>
    <mergeCell ref="Q1532:R1532"/>
    <mergeCell ref="T1532:V1532"/>
    <mergeCell ref="Y1532:AD1532"/>
    <mergeCell ref="AF1532:AL1532"/>
    <mergeCell ref="A1543:C1543"/>
    <mergeCell ref="K1543:P1543"/>
    <mergeCell ref="Q1543:R1543"/>
    <mergeCell ref="T1543:V1543"/>
    <mergeCell ref="Y1543:AD1543"/>
    <mergeCell ref="AF1543:AL1543"/>
    <mergeCell ref="A1542:C1542"/>
    <mergeCell ref="J1542:P1542"/>
    <mergeCell ref="Q1542:R1542"/>
    <mergeCell ref="T1542:V1542"/>
    <mergeCell ref="Y1542:AD1542"/>
    <mergeCell ref="AF1542:AL1542"/>
    <mergeCell ref="A1541:C1541"/>
    <mergeCell ref="M1541:P1541"/>
    <mergeCell ref="Q1541:R1541"/>
    <mergeCell ref="T1541:V1541"/>
    <mergeCell ref="Y1541:AD1541"/>
    <mergeCell ref="AF1541:AL1541"/>
    <mergeCell ref="A1540:C1540"/>
    <mergeCell ref="K1540:P1540"/>
    <mergeCell ref="Q1540:R1540"/>
    <mergeCell ref="T1540:V1540"/>
    <mergeCell ref="Y1540:AD1540"/>
    <mergeCell ref="AF1540:AL1540"/>
    <mergeCell ref="A1539:C1539"/>
    <mergeCell ref="J1539:P1539"/>
    <mergeCell ref="Q1539:R1539"/>
    <mergeCell ref="T1539:V1539"/>
    <mergeCell ref="Y1539:AD1539"/>
    <mergeCell ref="AF1539:AL1539"/>
    <mergeCell ref="A1538:C1538"/>
    <mergeCell ref="M1538:P1538"/>
    <mergeCell ref="Q1538:R1538"/>
    <mergeCell ref="T1538:V1538"/>
    <mergeCell ref="Y1538:AD1538"/>
    <mergeCell ref="AF1538:AL1538"/>
    <mergeCell ref="A1549:C1549"/>
    <mergeCell ref="J1549:P1549"/>
    <mergeCell ref="Q1549:R1549"/>
    <mergeCell ref="T1549:V1549"/>
    <mergeCell ref="Y1549:AD1549"/>
    <mergeCell ref="AF1549:AL1549"/>
    <mergeCell ref="A1548:C1548"/>
    <mergeCell ref="I1548:P1548"/>
    <mergeCell ref="Q1548:R1548"/>
    <mergeCell ref="T1548:V1548"/>
    <mergeCell ref="Y1548:AD1548"/>
    <mergeCell ref="AF1548:AL1548"/>
    <mergeCell ref="A1547:C1547"/>
    <mergeCell ref="M1547:P1547"/>
    <mergeCell ref="Q1547:R1547"/>
    <mergeCell ref="T1547:V1547"/>
    <mergeCell ref="Y1547:AD1547"/>
    <mergeCell ref="AF1547:AL1547"/>
    <mergeCell ref="A1546:C1546"/>
    <mergeCell ref="K1546:P1546"/>
    <mergeCell ref="Q1546:R1546"/>
    <mergeCell ref="T1546:V1546"/>
    <mergeCell ref="Y1546:AD1546"/>
    <mergeCell ref="AF1546:AL1546"/>
    <mergeCell ref="A1545:C1545"/>
    <mergeCell ref="J1545:P1545"/>
    <mergeCell ref="Q1545:R1545"/>
    <mergeCell ref="T1545:V1545"/>
    <mergeCell ref="Y1545:AD1545"/>
    <mergeCell ref="AF1545:AL1545"/>
    <mergeCell ref="A1544:C1544"/>
    <mergeCell ref="M1544:P1544"/>
    <mergeCell ref="Q1544:R1544"/>
    <mergeCell ref="T1544:V1544"/>
    <mergeCell ref="Y1544:AD1544"/>
    <mergeCell ref="AF1544:AL1544"/>
    <mergeCell ref="A1555:C1555"/>
    <mergeCell ref="M1555:P1555"/>
    <mergeCell ref="Q1555:R1555"/>
    <mergeCell ref="T1555:V1555"/>
    <mergeCell ref="Y1555:AD1555"/>
    <mergeCell ref="AF1555:AL1555"/>
    <mergeCell ref="A1554:C1554"/>
    <mergeCell ref="M1554:P1554"/>
    <mergeCell ref="Q1554:R1554"/>
    <mergeCell ref="T1554:V1554"/>
    <mergeCell ref="Y1554:AD1554"/>
    <mergeCell ref="AF1554:AL1554"/>
    <mergeCell ref="A1553:C1553"/>
    <mergeCell ref="M1553:P1553"/>
    <mergeCell ref="Q1553:R1553"/>
    <mergeCell ref="T1553:V1553"/>
    <mergeCell ref="Y1553:AD1553"/>
    <mergeCell ref="AF1553:AL1553"/>
    <mergeCell ref="A1552:C1552"/>
    <mergeCell ref="M1552:P1552"/>
    <mergeCell ref="Q1552:R1552"/>
    <mergeCell ref="T1552:V1552"/>
    <mergeCell ref="Y1552:AD1552"/>
    <mergeCell ref="AF1552:AL1552"/>
    <mergeCell ref="A1551:C1551"/>
    <mergeCell ref="L1551:P1551"/>
    <mergeCell ref="Q1551:R1551"/>
    <mergeCell ref="T1551:V1551"/>
    <mergeCell ref="Y1551:AD1551"/>
    <mergeCell ref="AF1551:AL1551"/>
    <mergeCell ref="A1550:C1550"/>
    <mergeCell ref="K1550:P1550"/>
    <mergeCell ref="Q1550:R1550"/>
    <mergeCell ref="T1550:V1550"/>
    <mergeCell ref="Y1550:AD1550"/>
    <mergeCell ref="AF1550:AL1550"/>
    <mergeCell ref="A1561:C1561"/>
    <mergeCell ref="J1561:P1561"/>
    <mergeCell ref="Q1561:R1561"/>
    <mergeCell ref="T1561:V1561"/>
    <mergeCell ref="Y1561:AD1561"/>
    <mergeCell ref="AF1561:AL1561"/>
    <mergeCell ref="A1560:C1560"/>
    <mergeCell ref="M1560:P1560"/>
    <mergeCell ref="Q1560:R1560"/>
    <mergeCell ref="T1560:V1560"/>
    <mergeCell ref="Y1560:AD1560"/>
    <mergeCell ref="AF1560:AL1560"/>
    <mergeCell ref="A1559:C1559"/>
    <mergeCell ref="K1559:P1559"/>
    <mergeCell ref="Q1559:R1559"/>
    <mergeCell ref="T1559:V1559"/>
    <mergeCell ref="Y1559:AD1559"/>
    <mergeCell ref="AF1559:AL1559"/>
    <mergeCell ref="A1558:C1558"/>
    <mergeCell ref="M1558:P1558"/>
    <mergeCell ref="Q1558:R1558"/>
    <mergeCell ref="T1558:V1558"/>
    <mergeCell ref="Y1558:AD1558"/>
    <mergeCell ref="AF1558:AL1558"/>
    <mergeCell ref="A1557:C1557"/>
    <mergeCell ref="M1557:P1557"/>
    <mergeCell ref="Q1557:R1557"/>
    <mergeCell ref="T1557:V1557"/>
    <mergeCell ref="Y1557:AD1557"/>
    <mergeCell ref="AF1557:AL1557"/>
    <mergeCell ref="A1556:C1556"/>
    <mergeCell ref="M1556:P1556"/>
    <mergeCell ref="Q1556:R1556"/>
    <mergeCell ref="T1556:V1556"/>
    <mergeCell ref="Y1556:AD1556"/>
    <mergeCell ref="AF1556:AL1556"/>
    <mergeCell ref="A1567:C1567"/>
    <mergeCell ref="I1567:P1567"/>
    <mergeCell ref="Q1567:R1567"/>
    <mergeCell ref="T1567:V1567"/>
    <mergeCell ref="Y1567:AD1567"/>
    <mergeCell ref="AF1567:AL1567"/>
    <mergeCell ref="A1566:C1566"/>
    <mergeCell ref="H1566:P1566"/>
    <mergeCell ref="Q1566:R1566"/>
    <mergeCell ref="T1566:V1566"/>
    <mergeCell ref="Y1566:AD1566"/>
    <mergeCell ref="AF1566:AL1566"/>
    <mergeCell ref="A1565:C1565"/>
    <mergeCell ref="M1565:P1565"/>
    <mergeCell ref="Q1565:R1565"/>
    <mergeCell ref="T1565:V1565"/>
    <mergeCell ref="Y1565:AD1565"/>
    <mergeCell ref="AF1565:AL1565"/>
    <mergeCell ref="A1564:C1564"/>
    <mergeCell ref="K1564:P1564"/>
    <mergeCell ref="Q1564:R1564"/>
    <mergeCell ref="T1564:V1564"/>
    <mergeCell ref="Y1564:AD1564"/>
    <mergeCell ref="AF1564:AL1564"/>
    <mergeCell ref="A1563:C1563"/>
    <mergeCell ref="M1563:P1563"/>
    <mergeCell ref="Q1563:R1563"/>
    <mergeCell ref="T1563:V1563"/>
    <mergeCell ref="Y1563:AD1563"/>
    <mergeCell ref="AF1563:AL1563"/>
    <mergeCell ref="A1562:C1562"/>
    <mergeCell ref="K1562:P1562"/>
    <mergeCell ref="Q1562:R1562"/>
    <mergeCell ref="T1562:V1562"/>
    <mergeCell ref="Y1562:AD1562"/>
    <mergeCell ref="AF1562:AL1562"/>
    <mergeCell ref="A1573:C1573"/>
    <mergeCell ref="M1573:P1573"/>
    <mergeCell ref="Q1573:R1573"/>
    <mergeCell ref="T1573:V1573"/>
    <mergeCell ref="Y1573:AD1573"/>
    <mergeCell ref="AF1573:AL1573"/>
    <mergeCell ref="A1572:C1572"/>
    <mergeCell ref="K1572:P1572"/>
    <mergeCell ref="Q1572:R1572"/>
    <mergeCell ref="T1572:V1572"/>
    <mergeCell ref="Y1572:AD1572"/>
    <mergeCell ref="AF1572:AL1572"/>
    <mergeCell ref="A1571:C1571"/>
    <mergeCell ref="J1571:P1571"/>
    <mergeCell ref="Q1571:R1571"/>
    <mergeCell ref="T1571:V1571"/>
    <mergeCell ref="Y1571:AD1571"/>
    <mergeCell ref="AF1571:AL1571"/>
    <mergeCell ref="A1570:C1570"/>
    <mergeCell ref="M1570:P1570"/>
    <mergeCell ref="Q1570:R1570"/>
    <mergeCell ref="T1570:V1570"/>
    <mergeCell ref="Y1570:AD1570"/>
    <mergeCell ref="AF1570:AL1570"/>
    <mergeCell ref="A1569:C1569"/>
    <mergeCell ref="K1569:P1569"/>
    <mergeCell ref="Q1569:R1569"/>
    <mergeCell ref="T1569:V1569"/>
    <mergeCell ref="Y1569:AD1569"/>
    <mergeCell ref="AF1569:AL1569"/>
    <mergeCell ref="A1568:C1568"/>
    <mergeCell ref="J1568:P1568"/>
    <mergeCell ref="Q1568:R1568"/>
    <mergeCell ref="T1568:V1568"/>
    <mergeCell ref="Y1568:AD1568"/>
    <mergeCell ref="AF1568:AL1568"/>
    <mergeCell ref="A1579:C1579"/>
    <mergeCell ref="M1579:P1579"/>
    <mergeCell ref="Q1579:R1579"/>
    <mergeCell ref="T1579:V1579"/>
    <mergeCell ref="Y1579:AD1579"/>
    <mergeCell ref="AF1579:AL1579"/>
    <mergeCell ref="A1578:C1578"/>
    <mergeCell ref="L1578:P1578"/>
    <mergeCell ref="Q1578:R1578"/>
    <mergeCell ref="T1578:V1578"/>
    <mergeCell ref="Y1578:AD1578"/>
    <mergeCell ref="AF1578:AL1578"/>
    <mergeCell ref="A1577:C1577"/>
    <mergeCell ref="K1577:P1577"/>
    <mergeCell ref="Q1577:R1577"/>
    <mergeCell ref="T1577:V1577"/>
    <mergeCell ref="Y1577:AD1577"/>
    <mergeCell ref="AF1577:AL1577"/>
    <mergeCell ref="A1576:C1576"/>
    <mergeCell ref="M1576:P1576"/>
    <mergeCell ref="Q1576:R1576"/>
    <mergeCell ref="T1576:V1576"/>
    <mergeCell ref="Y1576:AD1576"/>
    <mergeCell ref="AF1576:AL1576"/>
    <mergeCell ref="A1575:C1575"/>
    <mergeCell ref="K1575:P1575"/>
    <mergeCell ref="Q1575:R1575"/>
    <mergeCell ref="T1575:V1575"/>
    <mergeCell ref="Y1575:AD1575"/>
    <mergeCell ref="AF1575:AL1575"/>
    <mergeCell ref="A1574:C1574"/>
    <mergeCell ref="M1574:P1574"/>
    <mergeCell ref="Q1574:R1574"/>
    <mergeCell ref="T1574:V1574"/>
    <mergeCell ref="Y1574:AD1574"/>
    <mergeCell ref="AF1574:AL1574"/>
    <mergeCell ref="A1585:C1585"/>
    <mergeCell ref="M1585:P1585"/>
    <mergeCell ref="Q1585:R1585"/>
    <mergeCell ref="T1585:V1585"/>
    <mergeCell ref="Y1585:AD1585"/>
    <mergeCell ref="AF1585:AL1585"/>
    <mergeCell ref="A1584:C1584"/>
    <mergeCell ref="M1584:P1584"/>
    <mergeCell ref="Q1584:R1584"/>
    <mergeCell ref="T1584:V1584"/>
    <mergeCell ref="Y1584:AD1584"/>
    <mergeCell ref="AF1584:AL1584"/>
    <mergeCell ref="A1583:C1583"/>
    <mergeCell ref="M1583:P1583"/>
    <mergeCell ref="Q1583:R1583"/>
    <mergeCell ref="T1583:V1583"/>
    <mergeCell ref="Y1583:AD1583"/>
    <mergeCell ref="AF1583:AL1583"/>
    <mergeCell ref="A1582:C1582"/>
    <mergeCell ref="M1582:P1582"/>
    <mergeCell ref="Q1582:R1582"/>
    <mergeCell ref="T1582:V1582"/>
    <mergeCell ref="Y1582:AD1582"/>
    <mergeCell ref="AF1582:AL1582"/>
    <mergeCell ref="A1581:C1581"/>
    <mergeCell ref="L1581:P1581"/>
    <mergeCell ref="Q1581:R1581"/>
    <mergeCell ref="T1581:V1581"/>
    <mergeCell ref="Y1581:AD1581"/>
    <mergeCell ref="AF1581:AL1581"/>
    <mergeCell ref="A1580:C1580"/>
    <mergeCell ref="K1580:P1580"/>
    <mergeCell ref="Q1580:R1580"/>
    <mergeCell ref="T1580:V1580"/>
    <mergeCell ref="Y1580:AD1580"/>
    <mergeCell ref="AF1580:AL1580"/>
    <mergeCell ref="A1591:C1591"/>
    <mergeCell ref="M1591:P1591"/>
    <mergeCell ref="Q1591:R1591"/>
    <mergeCell ref="T1591:V1591"/>
    <mergeCell ref="Y1591:AD1591"/>
    <mergeCell ref="AF1591:AL1591"/>
    <mergeCell ref="A1590:C1590"/>
    <mergeCell ref="K1590:P1590"/>
    <mergeCell ref="Q1590:R1590"/>
    <mergeCell ref="T1590:V1590"/>
    <mergeCell ref="Y1590:AD1590"/>
    <mergeCell ref="AF1590:AL1590"/>
    <mergeCell ref="A1589:C1589"/>
    <mergeCell ref="J1589:P1589"/>
    <mergeCell ref="Q1589:R1589"/>
    <mergeCell ref="T1589:V1589"/>
    <mergeCell ref="Y1589:AD1589"/>
    <mergeCell ref="AF1589:AL1589"/>
    <mergeCell ref="A1588:C1588"/>
    <mergeCell ref="M1588:P1588"/>
    <mergeCell ref="Q1588:R1588"/>
    <mergeCell ref="T1588:V1588"/>
    <mergeCell ref="Y1588:AD1588"/>
    <mergeCell ref="AF1588:AL1588"/>
    <mergeCell ref="A1587:C1587"/>
    <mergeCell ref="M1587:P1587"/>
    <mergeCell ref="Q1587:R1587"/>
    <mergeCell ref="T1587:V1587"/>
    <mergeCell ref="Y1587:AD1587"/>
    <mergeCell ref="AF1587:AL1587"/>
    <mergeCell ref="A1586:C1586"/>
    <mergeCell ref="L1586:P1586"/>
    <mergeCell ref="Q1586:R1586"/>
    <mergeCell ref="T1586:V1586"/>
    <mergeCell ref="Y1586:AD1586"/>
    <mergeCell ref="AF1586:AL1586"/>
    <mergeCell ref="A1597:C1597"/>
    <mergeCell ref="I1597:P1597"/>
    <mergeCell ref="Q1597:R1597"/>
    <mergeCell ref="T1597:V1597"/>
    <mergeCell ref="Y1597:AD1597"/>
    <mergeCell ref="AF1597:AL1597"/>
    <mergeCell ref="A1596:C1596"/>
    <mergeCell ref="H1596:P1596"/>
    <mergeCell ref="Q1596:R1596"/>
    <mergeCell ref="T1596:V1596"/>
    <mergeCell ref="Y1596:AD1596"/>
    <mergeCell ref="AF1596:AL1596"/>
    <mergeCell ref="A1595:C1595"/>
    <mergeCell ref="M1595:P1595"/>
    <mergeCell ref="Q1595:R1595"/>
    <mergeCell ref="T1595:V1595"/>
    <mergeCell ref="Y1595:AD1595"/>
    <mergeCell ref="AF1595:AL1595"/>
    <mergeCell ref="A1594:C1594"/>
    <mergeCell ref="K1594:P1594"/>
    <mergeCell ref="Q1594:R1594"/>
    <mergeCell ref="T1594:V1594"/>
    <mergeCell ref="Y1594:AD1594"/>
    <mergeCell ref="AF1594:AL1594"/>
    <mergeCell ref="A1593:C1593"/>
    <mergeCell ref="M1593:P1593"/>
    <mergeCell ref="Q1593:R1593"/>
    <mergeCell ref="T1593:V1593"/>
    <mergeCell ref="Y1593:AD1593"/>
    <mergeCell ref="AF1593:AL1593"/>
    <mergeCell ref="A1592:C1592"/>
    <mergeCell ref="K1592:P1592"/>
    <mergeCell ref="Q1592:R1592"/>
    <mergeCell ref="T1592:V1592"/>
    <mergeCell ref="Y1592:AD1592"/>
    <mergeCell ref="AF1592:AL1592"/>
    <mergeCell ref="A1603:C1603"/>
    <mergeCell ref="K1603:P1603"/>
    <mergeCell ref="Q1603:R1603"/>
    <mergeCell ref="T1603:V1603"/>
    <mergeCell ref="Y1603:AD1603"/>
    <mergeCell ref="AF1603:AL1603"/>
    <mergeCell ref="A1602:C1602"/>
    <mergeCell ref="J1602:P1602"/>
    <mergeCell ref="Q1602:R1602"/>
    <mergeCell ref="T1602:V1602"/>
    <mergeCell ref="Y1602:AD1602"/>
    <mergeCell ref="AF1602:AL1602"/>
    <mergeCell ref="A1601:C1601"/>
    <mergeCell ref="M1601:P1601"/>
    <mergeCell ref="Q1601:R1601"/>
    <mergeCell ref="T1601:V1601"/>
    <mergeCell ref="Y1601:AD1601"/>
    <mergeCell ref="AF1601:AL1601"/>
    <mergeCell ref="A1600:C1600"/>
    <mergeCell ref="L1600:P1600"/>
    <mergeCell ref="Q1600:R1600"/>
    <mergeCell ref="T1600:V1600"/>
    <mergeCell ref="Y1600:AD1600"/>
    <mergeCell ref="AF1600:AL1600"/>
    <mergeCell ref="A1599:C1599"/>
    <mergeCell ref="K1599:P1599"/>
    <mergeCell ref="Q1599:R1599"/>
    <mergeCell ref="T1599:V1599"/>
    <mergeCell ref="Y1599:AD1599"/>
    <mergeCell ref="AF1599:AL1599"/>
    <mergeCell ref="A1598:C1598"/>
    <mergeCell ref="J1598:P1598"/>
    <mergeCell ref="Q1598:R1598"/>
    <mergeCell ref="T1598:V1598"/>
    <mergeCell ref="Y1598:AD1598"/>
    <mergeCell ref="AF1598:AL1598"/>
    <mergeCell ref="A1609:C1609"/>
    <mergeCell ref="M1609:P1609"/>
    <mergeCell ref="Q1609:R1609"/>
    <mergeCell ref="T1609:V1609"/>
    <mergeCell ref="Y1609:AD1609"/>
    <mergeCell ref="AF1609:AL1609"/>
    <mergeCell ref="A1608:C1608"/>
    <mergeCell ref="J1608:P1608"/>
    <mergeCell ref="Q1608:R1608"/>
    <mergeCell ref="T1608:V1608"/>
    <mergeCell ref="Y1608:AD1608"/>
    <mergeCell ref="AF1608:AL1608"/>
    <mergeCell ref="A1607:C1607"/>
    <mergeCell ref="I1607:P1607"/>
    <mergeCell ref="Q1607:R1607"/>
    <mergeCell ref="T1607:V1607"/>
    <mergeCell ref="Y1607:AD1607"/>
    <mergeCell ref="AF1607:AL1607"/>
    <mergeCell ref="A1606:C1606"/>
    <mergeCell ref="M1606:P1606"/>
    <mergeCell ref="Q1606:R1606"/>
    <mergeCell ref="T1606:V1606"/>
    <mergeCell ref="Y1606:AD1606"/>
    <mergeCell ref="AF1606:AL1606"/>
    <mergeCell ref="A1605:C1605"/>
    <mergeCell ref="M1605:P1605"/>
    <mergeCell ref="Q1605:R1605"/>
    <mergeCell ref="T1605:V1605"/>
    <mergeCell ref="Y1605:AD1605"/>
    <mergeCell ref="AF1605:AL1605"/>
    <mergeCell ref="A1604:C1604"/>
    <mergeCell ref="L1604:P1604"/>
    <mergeCell ref="Q1604:R1604"/>
    <mergeCell ref="T1604:V1604"/>
    <mergeCell ref="Y1604:AD1604"/>
    <mergeCell ref="AF1604:AL1604"/>
    <mergeCell ref="A1615:C1615"/>
    <mergeCell ref="M1615:P1615"/>
    <mergeCell ref="Q1615:R1615"/>
    <mergeCell ref="T1615:V1615"/>
    <mergeCell ref="Y1615:AD1615"/>
    <mergeCell ref="AF1615:AL1615"/>
    <mergeCell ref="A1614:C1614"/>
    <mergeCell ref="K1614:P1614"/>
    <mergeCell ref="Q1614:R1614"/>
    <mergeCell ref="T1614:V1614"/>
    <mergeCell ref="Y1614:AD1614"/>
    <mergeCell ref="AF1614:AL1614"/>
    <mergeCell ref="A1613:C1613"/>
    <mergeCell ref="J1613:P1613"/>
    <mergeCell ref="Q1613:R1613"/>
    <mergeCell ref="T1613:V1613"/>
    <mergeCell ref="Y1613:AD1613"/>
    <mergeCell ref="AF1613:AL1613"/>
    <mergeCell ref="A1612:C1612"/>
    <mergeCell ref="I1612:P1612"/>
    <mergeCell ref="Q1612:R1612"/>
    <mergeCell ref="T1612:V1612"/>
    <mergeCell ref="Y1612:AD1612"/>
    <mergeCell ref="AF1612:AL1612"/>
    <mergeCell ref="A1611:C1611"/>
    <mergeCell ref="H1611:P1611"/>
    <mergeCell ref="Q1611:R1611"/>
    <mergeCell ref="T1611:V1611"/>
    <mergeCell ref="Y1611:AD1611"/>
    <mergeCell ref="AF1611:AL1611"/>
    <mergeCell ref="A1610:C1610"/>
    <mergeCell ref="H1610:P1610"/>
    <mergeCell ref="Q1610:R1610"/>
    <mergeCell ref="T1610:V1610"/>
    <mergeCell ref="Y1610:AD1610"/>
    <mergeCell ref="AF1610:AL1610"/>
    <mergeCell ref="A1621:C1621"/>
    <mergeCell ref="M1621:P1621"/>
    <mergeCell ref="Q1621:R1621"/>
    <mergeCell ref="T1621:V1621"/>
    <mergeCell ref="Y1621:AD1621"/>
    <mergeCell ref="AF1621:AL1621"/>
    <mergeCell ref="A1620:C1620"/>
    <mergeCell ref="M1620:P1620"/>
    <mergeCell ref="Q1620:R1620"/>
    <mergeCell ref="T1620:V1620"/>
    <mergeCell ref="Y1620:AD1620"/>
    <mergeCell ref="AF1620:AL1620"/>
    <mergeCell ref="A1619:C1619"/>
    <mergeCell ref="K1619:P1619"/>
    <mergeCell ref="Q1619:R1619"/>
    <mergeCell ref="T1619:V1619"/>
    <mergeCell ref="Y1619:AD1619"/>
    <mergeCell ref="AF1619:AL1619"/>
    <mergeCell ref="A1618:C1618"/>
    <mergeCell ref="J1618:P1618"/>
    <mergeCell ref="Q1618:R1618"/>
    <mergeCell ref="T1618:V1618"/>
    <mergeCell ref="Y1618:AD1618"/>
    <mergeCell ref="AF1618:AL1618"/>
    <mergeCell ref="A1617:C1617"/>
    <mergeCell ref="M1617:P1617"/>
    <mergeCell ref="Q1617:R1617"/>
    <mergeCell ref="T1617:V1617"/>
    <mergeCell ref="Y1617:AD1617"/>
    <mergeCell ref="AF1617:AL1617"/>
    <mergeCell ref="A1616:C1616"/>
    <mergeCell ref="M1616:P1616"/>
    <mergeCell ref="Q1616:R1616"/>
    <mergeCell ref="T1616:V1616"/>
    <mergeCell ref="Y1616:AD1616"/>
    <mergeCell ref="AF1616:AL1616"/>
    <mergeCell ref="A1627:C1627"/>
    <mergeCell ref="K1627:P1627"/>
    <mergeCell ref="Q1627:R1627"/>
    <mergeCell ref="T1627:V1627"/>
    <mergeCell ref="Y1627:AD1627"/>
    <mergeCell ref="AF1627:AL1627"/>
    <mergeCell ref="A1626:C1626"/>
    <mergeCell ref="J1626:P1626"/>
    <mergeCell ref="Q1626:R1626"/>
    <mergeCell ref="T1626:V1626"/>
    <mergeCell ref="Y1626:AD1626"/>
    <mergeCell ref="AF1626:AL1626"/>
    <mergeCell ref="A1625:C1625"/>
    <mergeCell ref="I1625:P1625"/>
    <mergeCell ref="Q1625:R1625"/>
    <mergeCell ref="T1625:V1625"/>
    <mergeCell ref="Y1625:AD1625"/>
    <mergeCell ref="AF1625:AL1625"/>
    <mergeCell ref="A1624:C1624"/>
    <mergeCell ref="H1624:P1624"/>
    <mergeCell ref="Q1624:R1624"/>
    <mergeCell ref="T1624:V1624"/>
    <mergeCell ref="Y1624:AD1624"/>
    <mergeCell ref="AF1624:AL1624"/>
    <mergeCell ref="A1623:C1623"/>
    <mergeCell ref="H1623:P1623"/>
    <mergeCell ref="Q1623:R1623"/>
    <mergeCell ref="T1623:V1623"/>
    <mergeCell ref="Y1623:AD1623"/>
    <mergeCell ref="AF1623:AL1623"/>
    <mergeCell ref="A1622:C1622"/>
    <mergeCell ref="M1622:P1622"/>
    <mergeCell ref="Q1622:R1622"/>
    <mergeCell ref="T1622:V1622"/>
    <mergeCell ref="Y1622:AD1622"/>
    <mergeCell ref="AF1622:AL1622"/>
    <mergeCell ref="A1633:C1633"/>
    <mergeCell ref="M1633:P1633"/>
    <mergeCell ref="Q1633:R1633"/>
    <mergeCell ref="T1633:V1633"/>
    <mergeCell ref="Y1633:AD1633"/>
    <mergeCell ref="AF1633:AL1633"/>
    <mergeCell ref="A1632:C1632"/>
    <mergeCell ref="J1632:P1632"/>
    <mergeCell ref="Q1632:R1632"/>
    <mergeCell ref="T1632:V1632"/>
    <mergeCell ref="Y1632:AD1632"/>
    <mergeCell ref="AF1632:AL1632"/>
    <mergeCell ref="A1631:C1631"/>
    <mergeCell ref="M1631:P1631"/>
    <mergeCell ref="Q1631:R1631"/>
    <mergeCell ref="T1631:V1631"/>
    <mergeCell ref="Y1631:AD1631"/>
    <mergeCell ref="AF1631:AL1631"/>
    <mergeCell ref="A1630:C1630"/>
    <mergeCell ref="J1630:P1630"/>
    <mergeCell ref="Q1630:R1630"/>
    <mergeCell ref="T1630:V1630"/>
    <mergeCell ref="Y1630:AD1630"/>
    <mergeCell ref="AF1630:AL1630"/>
    <mergeCell ref="A1629:C1629"/>
    <mergeCell ref="M1629:P1629"/>
    <mergeCell ref="Q1629:R1629"/>
    <mergeCell ref="T1629:V1629"/>
    <mergeCell ref="Y1629:AD1629"/>
    <mergeCell ref="AF1629:AL1629"/>
    <mergeCell ref="A1628:C1628"/>
    <mergeCell ref="L1628:P1628"/>
    <mergeCell ref="Q1628:R1628"/>
    <mergeCell ref="T1628:V1628"/>
    <mergeCell ref="Y1628:AD1628"/>
    <mergeCell ref="AF1628:AL1628"/>
    <mergeCell ref="A1639:C1639"/>
    <mergeCell ref="K1639:P1639"/>
    <mergeCell ref="Q1639:R1639"/>
    <mergeCell ref="T1639:V1639"/>
    <mergeCell ref="Y1639:AD1639"/>
    <mergeCell ref="AF1639:AL1639"/>
    <mergeCell ref="A1638:C1638"/>
    <mergeCell ref="J1638:P1638"/>
    <mergeCell ref="Q1638:R1638"/>
    <mergeCell ref="T1638:V1638"/>
    <mergeCell ref="Y1638:AD1638"/>
    <mergeCell ref="AF1638:AL1638"/>
    <mergeCell ref="A1637:C1637"/>
    <mergeCell ref="M1637:P1637"/>
    <mergeCell ref="Q1637:R1637"/>
    <mergeCell ref="T1637:V1637"/>
    <mergeCell ref="Y1637:AD1637"/>
    <mergeCell ref="AF1637:AL1637"/>
    <mergeCell ref="A1636:C1636"/>
    <mergeCell ref="J1636:P1636"/>
    <mergeCell ref="Q1636:R1636"/>
    <mergeCell ref="T1636:V1636"/>
    <mergeCell ref="Y1636:AD1636"/>
    <mergeCell ref="AF1636:AL1636"/>
    <mergeCell ref="A1635:C1635"/>
    <mergeCell ref="M1635:P1635"/>
    <mergeCell ref="Q1635:R1635"/>
    <mergeCell ref="T1635:V1635"/>
    <mergeCell ref="Y1635:AD1635"/>
    <mergeCell ref="AF1635:AL1635"/>
    <mergeCell ref="A1634:C1634"/>
    <mergeCell ref="J1634:P1634"/>
    <mergeCell ref="Q1634:R1634"/>
    <mergeCell ref="T1634:V1634"/>
    <mergeCell ref="Y1634:AD1634"/>
    <mergeCell ref="AF1634:AL1634"/>
    <mergeCell ref="A1645:C1645"/>
    <mergeCell ref="M1645:P1645"/>
    <mergeCell ref="Q1645:R1645"/>
    <mergeCell ref="T1645:V1645"/>
    <mergeCell ref="Y1645:AD1645"/>
    <mergeCell ref="AF1645:AL1645"/>
    <mergeCell ref="A1644:C1644"/>
    <mergeCell ref="L1644:P1644"/>
    <mergeCell ref="Q1644:R1644"/>
    <mergeCell ref="T1644:V1644"/>
    <mergeCell ref="Y1644:AD1644"/>
    <mergeCell ref="AF1644:AL1644"/>
    <mergeCell ref="A1643:C1643"/>
    <mergeCell ref="J1643:P1643"/>
    <mergeCell ref="Q1643:R1643"/>
    <mergeCell ref="T1643:V1643"/>
    <mergeCell ref="Y1643:AD1643"/>
    <mergeCell ref="AF1643:AL1643"/>
    <mergeCell ref="A1642:C1642"/>
    <mergeCell ref="I1642:P1642"/>
    <mergeCell ref="Q1642:R1642"/>
    <mergeCell ref="T1642:V1642"/>
    <mergeCell ref="Y1642:AD1642"/>
    <mergeCell ref="AF1642:AL1642"/>
    <mergeCell ref="A1641:C1641"/>
    <mergeCell ref="M1641:P1641"/>
    <mergeCell ref="Q1641:R1641"/>
    <mergeCell ref="T1641:V1641"/>
    <mergeCell ref="Y1641:AD1641"/>
    <mergeCell ref="AF1641:AL1641"/>
    <mergeCell ref="A1640:C1640"/>
    <mergeCell ref="L1640:P1640"/>
    <mergeCell ref="Q1640:R1640"/>
    <mergeCell ref="T1640:V1640"/>
    <mergeCell ref="Y1640:AD1640"/>
    <mergeCell ref="AF1640:AL1640"/>
    <mergeCell ref="A1651:C1651"/>
    <mergeCell ref="L1651:P1651"/>
    <mergeCell ref="Q1651:R1651"/>
    <mergeCell ref="T1651:V1651"/>
    <mergeCell ref="Y1651:AD1651"/>
    <mergeCell ref="AF1651:AL1651"/>
    <mergeCell ref="A1650:C1650"/>
    <mergeCell ref="K1650:P1650"/>
    <mergeCell ref="Q1650:R1650"/>
    <mergeCell ref="T1650:V1650"/>
    <mergeCell ref="Y1650:AD1650"/>
    <mergeCell ref="AF1650:AL1650"/>
    <mergeCell ref="A1649:C1649"/>
    <mergeCell ref="J1649:P1649"/>
    <mergeCell ref="Q1649:R1649"/>
    <mergeCell ref="T1649:V1649"/>
    <mergeCell ref="Y1649:AD1649"/>
    <mergeCell ref="AF1649:AL1649"/>
    <mergeCell ref="A1648:C1648"/>
    <mergeCell ref="M1648:P1648"/>
    <mergeCell ref="Q1648:R1648"/>
    <mergeCell ref="T1648:V1648"/>
    <mergeCell ref="Y1648:AD1648"/>
    <mergeCell ref="AF1648:AL1648"/>
    <mergeCell ref="A1647:C1647"/>
    <mergeCell ref="L1647:P1647"/>
    <mergeCell ref="Q1647:R1647"/>
    <mergeCell ref="T1647:V1647"/>
    <mergeCell ref="Y1647:AD1647"/>
    <mergeCell ref="AF1647:AL1647"/>
    <mergeCell ref="A1646:C1646"/>
    <mergeCell ref="J1646:P1646"/>
    <mergeCell ref="Q1646:R1646"/>
    <mergeCell ref="T1646:V1646"/>
    <mergeCell ref="Y1646:AD1646"/>
    <mergeCell ref="AF1646:AL1646"/>
    <mergeCell ref="A1657:C1657"/>
    <mergeCell ref="M1657:P1657"/>
    <mergeCell ref="Q1657:R1657"/>
    <mergeCell ref="T1657:V1657"/>
    <mergeCell ref="Y1657:AD1657"/>
    <mergeCell ref="AF1657:AL1657"/>
    <mergeCell ref="A1656:C1656"/>
    <mergeCell ref="K1656:P1656"/>
    <mergeCell ref="Q1656:R1656"/>
    <mergeCell ref="T1656:V1656"/>
    <mergeCell ref="Y1656:AD1656"/>
    <mergeCell ref="AF1656:AL1656"/>
    <mergeCell ref="A1655:C1655"/>
    <mergeCell ref="J1655:P1655"/>
    <mergeCell ref="Q1655:R1655"/>
    <mergeCell ref="T1655:V1655"/>
    <mergeCell ref="Y1655:AD1655"/>
    <mergeCell ref="AF1655:AL1655"/>
    <mergeCell ref="A1654:C1654"/>
    <mergeCell ref="M1654:P1654"/>
    <mergeCell ref="Q1654:R1654"/>
    <mergeCell ref="T1654:V1654"/>
    <mergeCell ref="Y1654:AD1654"/>
    <mergeCell ref="AF1654:AL1654"/>
    <mergeCell ref="A1653:C1653"/>
    <mergeCell ref="M1653:P1653"/>
    <mergeCell ref="Q1653:R1653"/>
    <mergeCell ref="T1653:V1653"/>
    <mergeCell ref="Y1653:AD1653"/>
    <mergeCell ref="AF1653:AL1653"/>
    <mergeCell ref="A1652:C1652"/>
    <mergeCell ref="M1652:P1652"/>
    <mergeCell ref="Q1652:R1652"/>
    <mergeCell ref="T1652:V1652"/>
    <mergeCell ref="Y1652:AD1652"/>
    <mergeCell ref="AF1652:AL1652"/>
    <mergeCell ref="A1663:C1663"/>
    <mergeCell ref="M1663:P1663"/>
    <mergeCell ref="Q1663:R1663"/>
    <mergeCell ref="T1663:V1663"/>
    <mergeCell ref="Y1663:AD1663"/>
    <mergeCell ref="AF1663:AL1663"/>
    <mergeCell ref="A1662:C1662"/>
    <mergeCell ref="K1662:P1662"/>
    <mergeCell ref="Q1662:R1662"/>
    <mergeCell ref="T1662:V1662"/>
    <mergeCell ref="Y1662:AD1662"/>
    <mergeCell ref="AF1662:AL1662"/>
    <mergeCell ref="A1661:C1661"/>
    <mergeCell ref="J1661:P1661"/>
    <mergeCell ref="Q1661:R1661"/>
    <mergeCell ref="T1661:V1661"/>
    <mergeCell ref="Y1661:AD1661"/>
    <mergeCell ref="AF1661:AL1661"/>
    <mergeCell ref="A1660:C1660"/>
    <mergeCell ref="M1660:P1660"/>
    <mergeCell ref="Q1660:R1660"/>
    <mergeCell ref="T1660:V1660"/>
    <mergeCell ref="Y1660:AD1660"/>
    <mergeCell ref="AF1660:AL1660"/>
    <mergeCell ref="A1659:C1659"/>
    <mergeCell ref="K1659:P1659"/>
    <mergeCell ref="Q1659:R1659"/>
    <mergeCell ref="T1659:V1659"/>
    <mergeCell ref="Y1659:AD1659"/>
    <mergeCell ref="AF1659:AL1659"/>
    <mergeCell ref="A1658:C1658"/>
    <mergeCell ref="J1658:P1658"/>
    <mergeCell ref="Q1658:R1658"/>
    <mergeCell ref="T1658:V1658"/>
    <mergeCell ref="Y1658:AD1658"/>
    <mergeCell ref="AF1658:AL1658"/>
    <mergeCell ref="A1669:C1669"/>
    <mergeCell ref="L1669:P1669"/>
    <mergeCell ref="Q1669:R1669"/>
    <mergeCell ref="T1669:V1669"/>
    <mergeCell ref="Y1669:AD1669"/>
    <mergeCell ref="AF1669:AL1669"/>
    <mergeCell ref="A1668:C1668"/>
    <mergeCell ref="K1668:P1668"/>
    <mergeCell ref="Q1668:R1668"/>
    <mergeCell ref="T1668:V1668"/>
    <mergeCell ref="Y1668:AD1668"/>
    <mergeCell ref="AF1668:AL1668"/>
    <mergeCell ref="A1667:C1667"/>
    <mergeCell ref="J1667:P1667"/>
    <mergeCell ref="Q1667:R1667"/>
    <mergeCell ref="T1667:V1667"/>
    <mergeCell ref="Y1667:AD1667"/>
    <mergeCell ref="AF1667:AL1667"/>
    <mergeCell ref="A1666:C1666"/>
    <mergeCell ref="M1666:P1666"/>
    <mergeCell ref="Q1666:R1666"/>
    <mergeCell ref="T1666:V1666"/>
    <mergeCell ref="Y1666:AD1666"/>
    <mergeCell ref="AF1666:AL1666"/>
    <mergeCell ref="A1665:C1665"/>
    <mergeCell ref="K1665:P1665"/>
    <mergeCell ref="Q1665:R1665"/>
    <mergeCell ref="T1665:V1665"/>
    <mergeCell ref="Y1665:AD1665"/>
    <mergeCell ref="AF1665:AL1665"/>
    <mergeCell ref="A1664:C1664"/>
    <mergeCell ref="J1664:P1664"/>
    <mergeCell ref="Q1664:R1664"/>
    <mergeCell ref="T1664:V1664"/>
    <mergeCell ref="Y1664:AD1664"/>
    <mergeCell ref="AF1664:AL1664"/>
    <mergeCell ref="A1675:C1675"/>
    <mergeCell ref="L1675:P1675"/>
    <mergeCell ref="Q1675:R1675"/>
    <mergeCell ref="T1675:V1675"/>
    <mergeCell ref="Y1675:AD1675"/>
    <mergeCell ref="AF1675:AL1675"/>
    <mergeCell ref="A1674:C1674"/>
    <mergeCell ref="J1674:P1674"/>
    <mergeCell ref="Q1674:R1674"/>
    <mergeCell ref="T1674:V1674"/>
    <mergeCell ref="Y1674:AD1674"/>
    <mergeCell ref="AF1674:AL1674"/>
    <mergeCell ref="A1673:C1673"/>
    <mergeCell ref="I1673:P1673"/>
    <mergeCell ref="Q1673:R1673"/>
    <mergeCell ref="T1673:V1673"/>
    <mergeCell ref="Y1673:AD1673"/>
    <mergeCell ref="AF1673:AL1673"/>
    <mergeCell ref="A1672:C1672"/>
    <mergeCell ref="H1672:P1672"/>
    <mergeCell ref="Q1672:R1672"/>
    <mergeCell ref="T1672:V1672"/>
    <mergeCell ref="Y1672:AD1672"/>
    <mergeCell ref="AF1672:AL1672"/>
    <mergeCell ref="A1671:C1671"/>
    <mergeCell ref="M1671:P1671"/>
    <mergeCell ref="Q1671:R1671"/>
    <mergeCell ref="T1671:V1671"/>
    <mergeCell ref="Y1671:AD1671"/>
    <mergeCell ref="AF1671:AL1671"/>
    <mergeCell ref="A1670:C1670"/>
    <mergeCell ref="M1670:P1670"/>
    <mergeCell ref="Q1670:R1670"/>
    <mergeCell ref="T1670:V1670"/>
    <mergeCell ref="Y1670:AD1670"/>
    <mergeCell ref="AF1670:AL1670"/>
    <mergeCell ref="A1681:C1681"/>
    <mergeCell ref="M1681:P1681"/>
    <mergeCell ref="Q1681:R1681"/>
    <mergeCell ref="T1681:V1681"/>
    <mergeCell ref="Y1681:AD1681"/>
    <mergeCell ref="AF1681:AL1681"/>
    <mergeCell ref="A1680:C1680"/>
    <mergeCell ref="M1680:P1680"/>
    <mergeCell ref="Q1680:R1680"/>
    <mergeCell ref="T1680:V1680"/>
    <mergeCell ref="Y1680:AD1680"/>
    <mergeCell ref="AF1680:AL1680"/>
    <mergeCell ref="A1679:C1679"/>
    <mergeCell ref="M1679:P1679"/>
    <mergeCell ref="Q1679:R1679"/>
    <mergeCell ref="T1679:V1679"/>
    <mergeCell ref="Y1679:AD1679"/>
    <mergeCell ref="AF1679:AL1679"/>
    <mergeCell ref="A1678:C1678"/>
    <mergeCell ref="L1678:P1678"/>
    <mergeCell ref="Q1678:R1678"/>
    <mergeCell ref="T1678:V1678"/>
    <mergeCell ref="Y1678:AD1678"/>
    <mergeCell ref="AF1678:AL1678"/>
    <mergeCell ref="A1677:C1677"/>
    <mergeCell ref="J1677:P1677"/>
    <mergeCell ref="Q1677:R1677"/>
    <mergeCell ref="T1677:V1677"/>
    <mergeCell ref="Y1677:AD1677"/>
    <mergeCell ref="AF1677:AL1677"/>
    <mergeCell ref="A1676:C1676"/>
    <mergeCell ref="M1676:P1676"/>
    <mergeCell ref="Q1676:R1676"/>
    <mergeCell ref="T1676:V1676"/>
    <mergeCell ref="Y1676:AD1676"/>
    <mergeCell ref="AF1676:AL1676"/>
    <mergeCell ref="A1687:C1687"/>
    <mergeCell ref="J1687:P1687"/>
    <mergeCell ref="Q1687:R1687"/>
    <mergeCell ref="T1687:V1687"/>
    <mergeCell ref="Y1687:AD1687"/>
    <mergeCell ref="AF1687:AL1687"/>
    <mergeCell ref="A1686:C1686"/>
    <mergeCell ref="M1686:P1686"/>
    <mergeCell ref="Q1686:R1686"/>
    <mergeCell ref="T1686:V1686"/>
    <mergeCell ref="Y1686:AD1686"/>
    <mergeCell ref="AF1686:AL1686"/>
    <mergeCell ref="A1685:C1685"/>
    <mergeCell ref="J1685:P1685"/>
    <mergeCell ref="Q1685:R1685"/>
    <mergeCell ref="T1685:V1685"/>
    <mergeCell ref="Y1685:AD1685"/>
    <mergeCell ref="AF1685:AL1685"/>
    <mergeCell ref="A1684:C1684"/>
    <mergeCell ref="M1684:P1684"/>
    <mergeCell ref="Q1684:R1684"/>
    <mergeCell ref="T1684:V1684"/>
    <mergeCell ref="Y1684:AD1684"/>
    <mergeCell ref="AF1684:AL1684"/>
    <mergeCell ref="A1683:C1683"/>
    <mergeCell ref="K1683:P1683"/>
    <mergeCell ref="Q1683:R1683"/>
    <mergeCell ref="T1683:V1683"/>
    <mergeCell ref="Y1683:AD1683"/>
    <mergeCell ref="AF1683:AL1683"/>
    <mergeCell ref="A1682:C1682"/>
    <mergeCell ref="J1682:P1682"/>
    <mergeCell ref="Q1682:R1682"/>
    <mergeCell ref="T1682:V1682"/>
    <mergeCell ref="Y1682:AD1682"/>
    <mergeCell ref="AF1682:AL1682"/>
    <mergeCell ref="A1693:C1693"/>
    <mergeCell ref="L1693:P1693"/>
    <mergeCell ref="Q1693:R1693"/>
    <mergeCell ref="T1693:V1693"/>
    <mergeCell ref="Y1693:AD1693"/>
    <mergeCell ref="AF1693:AL1693"/>
    <mergeCell ref="A1692:C1692"/>
    <mergeCell ref="K1692:P1692"/>
    <mergeCell ref="Q1692:R1692"/>
    <mergeCell ref="T1692:V1692"/>
    <mergeCell ref="Y1692:AD1692"/>
    <mergeCell ref="AF1692:AL1692"/>
    <mergeCell ref="A1691:C1691"/>
    <mergeCell ref="J1691:P1691"/>
    <mergeCell ref="Q1691:R1691"/>
    <mergeCell ref="T1691:V1691"/>
    <mergeCell ref="Y1691:AD1691"/>
    <mergeCell ref="AF1691:AL1691"/>
    <mergeCell ref="A1690:C1690"/>
    <mergeCell ref="M1690:P1690"/>
    <mergeCell ref="Q1690:R1690"/>
    <mergeCell ref="T1690:V1690"/>
    <mergeCell ref="Y1690:AD1690"/>
    <mergeCell ref="AF1690:AL1690"/>
    <mergeCell ref="A1689:C1689"/>
    <mergeCell ref="J1689:P1689"/>
    <mergeCell ref="Q1689:R1689"/>
    <mergeCell ref="T1689:V1689"/>
    <mergeCell ref="Y1689:AD1689"/>
    <mergeCell ref="AF1689:AL1689"/>
    <mergeCell ref="A1688:C1688"/>
    <mergeCell ref="M1688:P1688"/>
    <mergeCell ref="Q1688:R1688"/>
    <mergeCell ref="T1688:V1688"/>
    <mergeCell ref="Y1688:AD1688"/>
    <mergeCell ref="AF1688:AL1688"/>
    <mergeCell ref="A1699:C1699"/>
    <mergeCell ref="K1699:P1699"/>
    <mergeCell ref="Q1699:R1699"/>
    <mergeCell ref="T1699:V1699"/>
    <mergeCell ref="Y1699:AD1699"/>
    <mergeCell ref="AF1699:AL1699"/>
    <mergeCell ref="A1698:C1698"/>
    <mergeCell ref="J1698:P1698"/>
    <mergeCell ref="Q1698:R1698"/>
    <mergeCell ref="T1698:V1698"/>
    <mergeCell ref="Y1698:AD1698"/>
    <mergeCell ref="AF1698:AL1698"/>
    <mergeCell ref="A1697:C1697"/>
    <mergeCell ref="I1697:P1697"/>
    <mergeCell ref="Q1697:R1697"/>
    <mergeCell ref="T1697:V1697"/>
    <mergeCell ref="Y1697:AD1697"/>
    <mergeCell ref="AF1697:AL1697"/>
    <mergeCell ref="A1696:C1696"/>
    <mergeCell ref="M1696:P1696"/>
    <mergeCell ref="Q1696:R1696"/>
    <mergeCell ref="T1696:V1696"/>
    <mergeCell ref="Y1696:AD1696"/>
    <mergeCell ref="AF1696:AL1696"/>
    <mergeCell ref="A1695:C1695"/>
    <mergeCell ref="L1695:P1695"/>
    <mergeCell ref="Q1695:R1695"/>
    <mergeCell ref="T1695:V1695"/>
    <mergeCell ref="Y1695:AD1695"/>
    <mergeCell ref="AF1695:AL1695"/>
    <mergeCell ref="A1694:C1694"/>
    <mergeCell ref="M1694:P1694"/>
    <mergeCell ref="Q1694:R1694"/>
    <mergeCell ref="T1694:V1694"/>
    <mergeCell ref="Y1694:AD1694"/>
    <mergeCell ref="AF1694:AL1694"/>
    <mergeCell ref="A1705:C1705"/>
    <mergeCell ref="J1705:P1705"/>
    <mergeCell ref="Q1705:R1705"/>
    <mergeCell ref="T1705:V1705"/>
    <mergeCell ref="Y1705:AD1705"/>
    <mergeCell ref="AF1705:AL1705"/>
    <mergeCell ref="A1704:C1704"/>
    <mergeCell ref="M1704:P1704"/>
    <mergeCell ref="Q1704:R1704"/>
    <mergeCell ref="T1704:V1704"/>
    <mergeCell ref="Y1704:AD1704"/>
    <mergeCell ref="AF1704:AL1704"/>
    <mergeCell ref="A1703:C1703"/>
    <mergeCell ref="M1703:P1703"/>
    <mergeCell ref="Q1703:R1703"/>
    <mergeCell ref="T1703:V1703"/>
    <mergeCell ref="Y1703:AD1703"/>
    <mergeCell ref="AF1703:AL1703"/>
    <mergeCell ref="A1702:C1702"/>
    <mergeCell ref="J1702:P1702"/>
    <mergeCell ref="Q1702:R1702"/>
    <mergeCell ref="T1702:V1702"/>
    <mergeCell ref="Y1702:AD1702"/>
    <mergeCell ref="AF1702:AL1702"/>
    <mergeCell ref="A1701:C1701"/>
    <mergeCell ref="M1701:P1701"/>
    <mergeCell ref="Q1701:R1701"/>
    <mergeCell ref="T1701:V1701"/>
    <mergeCell ref="Y1701:AD1701"/>
    <mergeCell ref="AF1701:AL1701"/>
    <mergeCell ref="A1700:C1700"/>
    <mergeCell ref="L1700:P1700"/>
    <mergeCell ref="Q1700:R1700"/>
    <mergeCell ref="T1700:V1700"/>
    <mergeCell ref="Y1700:AD1700"/>
    <mergeCell ref="AF1700:AL1700"/>
    <mergeCell ref="A1711:C1711"/>
    <mergeCell ref="K1711:P1711"/>
    <mergeCell ref="Q1711:R1711"/>
    <mergeCell ref="T1711:V1711"/>
    <mergeCell ref="Y1711:AD1711"/>
    <mergeCell ref="AF1711:AL1711"/>
    <mergeCell ref="A1710:C1710"/>
    <mergeCell ref="J1710:P1710"/>
    <mergeCell ref="Q1710:R1710"/>
    <mergeCell ref="T1710:V1710"/>
    <mergeCell ref="Y1710:AD1710"/>
    <mergeCell ref="AF1710:AL1710"/>
    <mergeCell ref="A1709:C1709"/>
    <mergeCell ref="M1709:P1709"/>
    <mergeCell ref="Q1709:R1709"/>
    <mergeCell ref="T1709:V1709"/>
    <mergeCell ref="Y1709:AD1709"/>
    <mergeCell ref="AF1709:AL1709"/>
    <mergeCell ref="A1708:C1708"/>
    <mergeCell ref="K1708:P1708"/>
    <mergeCell ref="Q1708:R1708"/>
    <mergeCell ref="T1708:V1708"/>
    <mergeCell ref="Y1708:AD1708"/>
    <mergeCell ref="AF1708:AL1708"/>
    <mergeCell ref="A1707:C1707"/>
    <mergeCell ref="J1707:P1707"/>
    <mergeCell ref="Q1707:R1707"/>
    <mergeCell ref="T1707:V1707"/>
    <mergeCell ref="Y1707:AD1707"/>
    <mergeCell ref="AF1707:AL1707"/>
    <mergeCell ref="A1706:C1706"/>
    <mergeCell ref="M1706:P1706"/>
    <mergeCell ref="Q1706:R1706"/>
    <mergeCell ref="T1706:V1706"/>
    <mergeCell ref="Y1706:AD1706"/>
    <mergeCell ref="AF1706:AL1706"/>
    <mergeCell ref="A1717:C1717"/>
    <mergeCell ref="K1717:P1717"/>
    <mergeCell ref="Q1717:R1717"/>
    <mergeCell ref="T1717:V1717"/>
    <mergeCell ref="Y1717:AD1717"/>
    <mergeCell ref="AF1717:AL1717"/>
    <mergeCell ref="A1716:C1716"/>
    <mergeCell ref="J1716:P1716"/>
    <mergeCell ref="Q1716:R1716"/>
    <mergeCell ref="T1716:V1716"/>
    <mergeCell ref="Y1716:AD1716"/>
    <mergeCell ref="AF1716:AL1716"/>
    <mergeCell ref="A1715:C1715"/>
    <mergeCell ref="M1715:P1715"/>
    <mergeCell ref="Q1715:R1715"/>
    <mergeCell ref="T1715:V1715"/>
    <mergeCell ref="Y1715:AD1715"/>
    <mergeCell ref="AF1715:AL1715"/>
    <mergeCell ref="A1714:C1714"/>
    <mergeCell ref="K1714:P1714"/>
    <mergeCell ref="Q1714:R1714"/>
    <mergeCell ref="T1714:V1714"/>
    <mergeCell ref="Y1714:AD1714"/>
    <mergeCell ref="AF1714:AL1714"/>
    <mergeCell ref="A1713:C1713"/>
    <mergeCell ref="J1713:P1713"/>
    <mergeCell ref="Q1713:R1713"/>
    <mergeCell ref="T1713:V1713"/>
    <mergeCell ref="Y1713:AD1713"/>
    <mergeCell ref="AF1713:AL1713"/>
    <mergeCell ref="A1712:C1712"/>
    <mergeCell ref="M1712:P1712"/>
    <mergeCell ref="Q1712:R1712"/>
    <mergeCell ref="T1712:V1712"/>
    <mergeCell ref="Y1712:AD1712"/>
    <mergeCell ref="AF1712:AL1712"/>
    <mergeCell ref="A1723:C1723"/>
    <mergeCell ref="M1723:P1723"/>
    <mergeCell ref="Q1723:R1723"/>
    <mergeCell ref="T1723:V1723"/>
    <mergeCell ref="Y1723:AD1723"/>
    <mergeCell ref="AF1723:AL1723"/>
    <mergeCell ref="A1722:C1722"/>
    <mergeCell ref="M1722:P1722"/>
    <mergeCell ref="Q1722:R1722"/>
    <mergeCell ref="T1722:V1722"/>
    <mergeCell ref="Y1722:AD1722"/>
    <mergeCell ref="AF1722:AL1722"/>
    <mergeCell ref="A1721:C1721"/>
    <mergeCell ref="L1721:P1721"/>
    <mergeCell ref="Q1721:R1721"/>
    <mergeCell ref="T1721:V1721"/>
    <mergeCell ref="Y1721:AD1721"/>
    <mergeCell ref="AF1721:AL1721"/>
    <mergeCell ref="A1720:C1720"/>
    <mergeCell ref="K1720:P1720"/>
    <mergeCell ref="Q1720:R1720"/>
    <mergeCell ref="T1720:V1720"/>
    <mergeCell ref="Y1720:AD1720"/>
    <mergeCell ref="AF1720:AL1720"/>
    <mergeCell ref="A1719:C1719"/>
    <mergeCell ref="J1719:P1719"/>
    <mergeCell ref="Q1719:R1719"/>
    <mergeCell ref="T1719:V1719"/>
    <mergeCell ref="Y1719:AD1719"/>
    <mergeCell ref="AF1719:AL1719"/>
    <mergeCell ref="A1718:C1718"/>
    <mergeCell ref="M1718:P1718"/>
    <mergeCell ref="Q1718:R1718"/>
    <mergeCell ref="T1718:V1718"/>
    <mergeCell ref="Y1718:AD1718"/>
    <mergeCell ref="AF1718:AL1718"/>
    <mergeCell ref="A1729:C1729"/>
    <mergeCell ref="M1729:P1729"/>
    <mergeCell ref="Q1729:R1729"/>
    <mergeCell ref="T1729:V1729"/>
    <mergeCell ref="Y1729:AD1729"/>
    <mergeCell ref="AF1729:AL1729"/>
    <mergeCell ref="A1728:C1728"/>
    <mergeCell ref="J1728:P1728"/>
    <mergeCell ref="Q1728:R1728"/>
    <mergeCell ref="T1728:V1728"/>
    <mergeCell ref="Y1728:AD1728"/>
    <mergeCell ref="AF1728:AL1728"/>
    <mergeCell ref="A1727:C1727"/>
    <mergeCell ref="I1727:P1727"/>
    <mergeCell ref="Q1727:R1727"/>
    <mergeCell ref="T1727:V1727"/>
    <mergeCell ref="Y1727:AD1727"/>
    <mergeCell ref="AF1727:AL1727"/>
    <mergeCell ref="A1726:C1726"/>
    <mergeCell ref="H1726:P1726"/>
    <mergeCell ref="Q1726:R1726"/>
    <mergeCell ref="T1726:V1726"/>
    <mergeCell ref="Y1726:AD1726"/>
    <mergeCell ref="AF1726:AL1726"/>
    <mergeCell ref="A1725:C1725"/>
    <mergeCell ref="H1725:P1725"/>
    <mergeCell ref="Q1725:R1725"/>
    <mergeCell ref="T1725:V1725"/>
    <mergeCell ref="Y1725:AD1725"/>
    <mergeCell ref="AF1725:AL1725"/>
    <mergeCell ref="A1724:C1724"/>
    <mergeCell ref="H1724:P1724"/>
    <mergeCell ref="Q1724:R1724"/>
    <mergeCell ref="T1724:V1724"/>
    <mergeCell ref="Y1724:AD1724"/>
    <mergeCell ref="AF1724:AL1724"/>
    <mergeCell ref="A1735:C1735"/>
    <mergeCell ref="M1735:P1735"/>
    <mergeCell ref="Q1735:R1735"/>
    <mergeCell ref="T1735:V1735"/>
    <mergeCell ref="Y1735:AD1735"/>
    <mergeCell ref="AF1735:AL1735"/>
    <mergeCell ref="A1734:C1734"/>
    <mergeCell ref="J1734:P1734"/>
    <mergeCell ref="Q1734:R1734"/>
    <mergeCell ref="T1734:V1734"/>
    <mergeCell ref="Y1734:AD1734"/>
    <mergeCell ref="AF1734:AL1734"/>
    <mergeCell ref="A1733:C1733"/>
    <mergeCell ref="M1733:P1733"/>
    <mergeCell ref="Q1733:R1733"/>
    <mergeCell ref="T1733:V1733"/>
    <mergeCell ref="Y1733:AD1733"/>
    <mergeCell ref="AF1733:AL1733"/>
    <mergeCell ref="A1732:C1732"/>
    <mergeCell ref="J1732:P1732"/>
    <mergeCell ref="Q1732:R1732"/>
    <mergeCell ref="T1732:V1732"/>
    <mergeCell ref="Y1732:AD1732"/>
    <mergeCell ref="AF1732:AL1732"/>
    <mergeCell ref="A1731:C1731"/>
    <mergeCell ref="M1731:P1731"/>
    <mergeCell ref="Q1731:R1731"/>
    <mergeCell ref="T1731:V1731"/>
    <mergeCell ref="Y1731:AD1731"/>
    <mergeCell ref="AF1731:AL1731"/>
    <mergeCell ref="A1730:C1730"/>
    <mergeCell ref="J1730:P1730"/>
    <mergeCell ref="Q1730:R1730"/>
    <mergeCell ref="T1730:V1730"/>
    <mergeCell ref="Y1730:AD1730"/>
    <mergeCell ref="AF1730:AL1730"/>
    <mergeCell ref="P1741:R1741"/>
    <mergeCell ref="T1741:V1741"/>
    <mergeCell ref="X1741:AD1741"/>
    <mergeCell ref="AF1741:AL1741"/>
    <mergeCell ref="A1742:AI1742"/>
    <mergeCell ref="A1740:C1740"/>
    <mergeCell ref="M1740:P1740"/>
    <mergeCell ref="Q1740:R1740"/>
    <mergeCell ref="T1740:V1740"/>
    <mergeCell ref="Y1740:AD1740"/>
    <mergeCell ref="AF1740:AL1740"/>
    <mergeCell ref="A1739:C1739"/>
    <mergeCell ref="J1739:P1739"/>
    <mergeCell ref="Q1739:R1739"/>
    <mergeCell ref="T1739:V1739"/>
    <mergeCell ref="Y1739:AD1739"/>
    <mergeCell ref="AF1739:AL1739"/>
    <mergeCell ref="A1738:C1738"/>
    <mergeCell ref="I1738:P1738"/>
    <mergeCell ref="Q1738:R1738"/>
    <mergeCell ref="T1738:V1738"/>
    <mergeCell ref="Y1738:AD1738"/>
    <mergeCell ref="AF1738:AL1738"/>
    <mergeCell ref="A1737:C1737"/>
    <mergeCell ref="H1737:P1737"/>
    <mergeCell ref="Q1737:R1737"/>
    <mergeCell ref="T1737:V1737"/>
    <mergeCell ref="Y1737:AD1737"/>
    <mergeCell ref="AF1737:AL1737"/>
    <mergeCell ref="A1736:C1736"/>
    <mergeCell ref="H1736:P1736"/>
    <mergeCell ref="Q1736:R1736"/>
    <mergeCell ref="T1736:V1736"/>
    <mergeCell ref="Y1736:AD1736"/>
    <mergeCell ref="AF1736:AL173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I1733"/>
  <sheetViews>
    <sheetView topLeftCell="A1055" workbookViewId="0">
      <selection activeCell="A1074" sqref="A1074"/>
    </sheetView>
  </sheetViews>
  <sheetFormatPr defaultRowHeight="15" x14ac:dyDescent="0.25"/>
  <cols>
    <col min="1" max="1" width="19.140625" bestFit="1" customWidth="1"/>
    <col min="2" max="2" width="73.140625" bestFit="1" customWidth="1"/>
    <col min="4" max="4" width="14.42578125" style="85" bestFit="1" customWidth="1"/>
    <col min="5" max="6" width="12.7109375" style="85" bestFit="1" customWidth="1"/>
    <col min="7" max="7" width="14.42578125" style="85" bestFit="1" customWidth="1"/>
    <col min="9" max="9" width="13.5703125" bestFit="1" customWidth="1"/>
    <col min="257" max="257" width="19.140625" bestFit="1" customWidth="1"/>
    <col min="258" max="258" width="73.140625" bestFit="1" customWidth="1"/>
    <col min="260" max="260" width="14.42578125" bestFit="1" customWidth="1"/>
    <col min="261" max="262" width="12.7109375" bestFit="1" customWidth="1"/>
    <col min="263" max="263" width="14.42578125" bestFit="1" customWidth="1"/>
    <col min="513" max="513" width="19.140625" bestFit="1" customWidth="1"/>
    <col min="514" max="514" width="73.140625" bestFit="1" customWidth="1"/>
    <col min="516" max="516" width="14.42578125" bestFit="1" customWidth="1"/>
    <col min="517" max="518" width="12.7109375" bestFit="1" customWidth="1"/>
    <col min="519" max="519" width="14.42578125" bestFit="1" customWidth="1"/>
    <col min="769" max="769" width="19.140625" bestFit="1" customWidth="1"/>
    <col min="770" max="770" width="73.140625" bestFit="1" customWidth="1"/>
    <col min="772" max="772" width="14.42578125" bestFit="1" customWidth="1"/>
    <col min="773" max="774" width="12.7109375" bestFit="1" customWidth="1"/>
    <col min="775" max="775" width="14.42578125" bestFit="1" customWidth="1"/>
    <col min="1025" max="1025" width="19.140625" bestFit="1" customWidth="1"/>
    <col min="1026" max="1026" width="73.140625" bestFit="1" customWidth="1"/>
    <col min="1028" max="1028" width="14.42578125" bestFit="1" customWidth="1"/>
    <col min="1029" max="1030" width="12.7109375" bestFit="1" customWidth="1"/>
    <col min="1031" max="1031" width="14.42578125" bestFit="1" customWidth="1"/>
    <col min="1281" max="1281" width="19.140625" bestFit="1" customWidth="1"/>
    <col min="1282" max="1282" width="73.140625" bestFit="1" customWidth="1"/>
    <col min="1284" max="1284" width="14.42578125" bestFit="1" customWidth="1"/>
    <col min="1285" max="1286" width="12.7109375" bestFit="1" customWidth="1"/>
    <col min="1287" max="1287" width="14.42578125" bestFit="1" customWidth="1"/>
    <col min="1537" max="1537" width="19.140625" bestFit="1" customWidth="1"/>
    <col min="1538" max="1538" width="73.140625" bestFit="1" customWidth="1"/>
    <col min="1540" max="1540" width="14.42578125" bestFit="1" customWidth="1"/>
    <col min="1541" max="1542" width="12.7109375" bestFit="1" customWidth="1"/>
    <col min="1543" max="1543" width="14.42578125" bestFit="1" customWidth="1"/>
    <col min="1793" max="1793" width="19.140625" bestFit="1" customWidth="1"/>
    <col min="1794" max="1794" width="73.140625" bestFit="1" customWidth="1"/>
    <col min="1796" max="1796" width="14.42578125" bestFit="1" customWidth="1"/>
    <col min="1797" max="1798" width="12.7109375" bestFit="1" customWidth="1"/>
    <col min="1799" max="1799" width="14.42578125" bestFit="1" customWidth="1"/>
    <col min="2049" max="2049" width="19.140625" bestFit="1" customWidth="1"/>
    <col min="2050" max="2050" width="73.140625" bestFit="1" customWidth="1"/>
    <col min="2052" max="2052" width="14.42578125" bestFit="1" customWidth="1"/>
    <col min="2053" max="2054" width="12.7109375" bestFit="1" customWidth="1"/>
    <col min="2055" max="2055" width="14.42578125" bestFit="1" customWidth="1"/>
    <col min="2305" max="2305" width="19.140625" bestFit="1" customWidth="1"/>
    <col min="2306" max="2306" width="73.140625" bestFit="1" customWidth="1"/>
    <col min="2308" max="2308" width="14.42578125" bestFit="1" customWidth="1"/>
    <col min="2309" max="2310" width="12.7109375" bestFit="1" customWidth="1"/>
    <col min="2311" max="2311" width="14.42578125" bestFit="1" customWidth="1"/>
    <col min="2561" max="2561" width="19.140625" bestFit="1" customWidth="1"/>
    <col min="2562" max="2562" width="73.140625" bestFit="1" customWidth="1"/>
    <col min="2564" max="2564" width="14.42578125" bestFit="1" customWidth="1"/>
    <col min="2565" max="2566" width="12.7109375" bestFit="1" customWidth="1"/>
    <col min="2567" max="2567" width="14.42578125" bestFit="1" customWidth="1"/>
    <col min="2817" max="2817" width="19.140625" bestFit="1" customWidth="1"/>
    <col min="2818" max="2818" width="73.140625" bestFit="1" customWidth="1"/>
    <col min="2820" max="2820" width="14.42578125" bestFit="1" customWidth="1"/>
    <col min="2821" max="2822" width="12.7109375" bestFit="1" customWidth="1"/>
    <col min="2823" max="2823" width="14.42578125" bestFit="1" customWidth="1"/>
    <col min="3073" max="3073" width="19.140625" bestFit="1" customWidth="1"/>
    <col min="3074" max="3074" width="73.140625" bestFit="1" customWidth="1"/>
    <col min="3076" max="3076" width="14.42578125" bestFit="1" customWidth="1"/>
    <col min="3077" max="3078" width="12.7109375" bestFit="1" customWidth="1"/>
    <col min="3079" max="3079" width="14.42578125" bestFit="1" customWidth="1"/>
    <col min="3329" max="3329" width="19.140625" bestFit="1" customWidth="1"/>
    <col min="3330" max="3330" width="73.140625" bestFit="1" customWidth="1"/>
    <col min="3332" max="3332" width="14.42578125" bestFit="1" customWidth="1"/>
    <col min="3333" max="3334" width="12.7109375" bestFit="1" customWidth="1"/>
    <col min="3335" max="3335" width="14.42578125" bestFit="1" customWidth="1"/>
    <col min="3585" max="3585" width="19.140625" bestFit="1" customWidth="1"/>
    <col min="3586" max="3586" width="73.140625" bestFit="1" customWidth="1"/>
    <col min="3588" max="3588" width="14.42578125" bestFit="1" customWidth="1"/>
    <col min="3589" max="3590" width="12.7109375" bestFit="1" customWidth="1"/>
    <col min="3591" max="3591" width="14.42578125" bestFit="1" customWidth="1"/>
    <col min="3841" max="3841" width="19.140625" bestFit="1" customWidth="1"/>
    <col min="3842" max="3842" width="73.140625" bestFit="1" customWidth="1"/>
    <col min="3844" max="3844" width="14.42578125" bestFit="1" customWidth="1"/>
    <col min="3845" max="3846" width="12.7109375" bestFit="1" customWidth="1"/>
    <col min="3847" max="3847" width="14.42578125" bestFit="1" customWidth="1"/>
    <col min="4097" max="4097" width="19.140625" bestFit="1" customWidth="1"/>
    <col min="4098" max="4098" width="73.140625" bestFit="1" customWidth="1"/>
    <col min="4100" max="4100" width="14.42578125" bestFit="1" customWidth="1"/>
    <col min="4101" max="4102" width="12.7109375" bestFit="1" customWidth="1"/>
    <col min="4103" max="4103" width="14.42578125" bestFit="1" customWidth="1"/>
    <col min="4353" max="4353" width="19.140625" bestFit="1" customWidth="1"/>
    <col min="4354" max="4354" width="73.140625" bestFit="1" customWidth="1"/>
    <col min="4356" max="4356" width="14.42578125" bestFit="1" customWidth="1"/>
    <col min="4357" max="4358" width="12.7109375" bestFit="1" customWidth="1"/>
    <col min="4359" max="4359" width="14.42578125" bestFit="1" customWidth="1"/>
    <col min="4609" max="4609" width="19.140625" bestFit="1" customWidth="1"/>
    <col min="4610" max="4610" width="73.140625" bestFit="1" customWidth="1"/>
    <col min="4612" max="4612" width="14.42578125" bestFit="1" customWidth="1"/>
    <col min="4613" max="4614" width="12.7109375" bestFit="1" customWidth="1"/>
    <col min="4615" max="4615" width="14.42578125" bestFit="1" customWidth="1"/>
    <col min="4865" max="4865" width="19.140625" bestFit="1" customWidth="1"/>
    <col min="4866" max="4866" width="73.140625" bestFit="1" customWidth="1"/>
    <col min="4868" max="4868" width="14.42578125" bestFit="1" customWidth="1"/>
    <col min="4869" max="4870" width="12.7109375" bestFit="1" customWidth="1"/>
    <col min="4871" max="4871" width="14.42578125" bestFit="1" customWidth="1"/>
    <col min="5121" max="5121" width="19.140625" bestFit="1" customWidth="1"/>
    <col min="5122" max="5122" width="73.140625" bestFit="1" customWidth="1"/>
    <col min="5124" max="5124" width="14.42578125" bestFit="1" customWidth="1"/>
    <col min="5125" max="5126" width="12.7109375" bestFit="1" customWidth="1"/>
    <col min="5127" max="5127" width="14.42578125" bestFit="1" customWidth="1"/>
    <col min="5377" max="5377" width="19.140625" bestFit="1" customWidth="1"/>
    <col min="5378" max="5378" width="73.140625" bestFit="1" customWidth="1"/>
    <col min="5380" max="5380" width="14.42578125" bestFit="1" customWidth="1"/>
    <col min="5381" max="5382" width="12.7109375" bestFit="1" customWidth="1"/>
    <col min="5383" max="5383" width="14.42578125" bestFit="1" customWidth="1"/>
    <col min="5633" max="5633" width="19.140625" bestFit="1" customWidth="1"/>
    <col min="5634" max="5634" width="73.140625" bestFit="1" customWidth="1"/>
    <col min="5636" max="5636" width="14.42578125" bestFit="1" customWidth="1"/>
    <col min="5637" max="5638" width="12.7109375" bestFit="1" customWidth="1"/>
    <col min="5639" max="5639" width="14.42578125" bestFit="1" customWidth="1"/>
    <col min="5889" max="5889" width="19.140625" bestFit="1" customWidth="1"/>
    <col min="5890" max="5890" width="73.140625" bestFit="1" customWidth="1"/>
    <col min="5892" max="5892" width="14.42578125" bestFit="1" customWidth="1"/>
    <col min="5893" max="5894" width="12.7109375" bestFit="1" customWidth="1"/>
    <col min="5895" max="5895" width="14.42578125" bestFit="1" customWidth="1"/>
    <col min="6145" max="6145" width="19.140625" bestFit="1" customWidth="1"/>
    <col min="6146" max="6146" width="73.140625" bestFit="1" customWidth="1"/>
    <col min="6148" max="6148" width="14.42578125" bestFit="1" customWidth="1"/>
    <col min="6149" max="6150" width="12.7109375" bestFit="1" customWidth="1"/>
    <col min="6151" max="6151" width="14.42578125" bestFit="1" customWidth="1"/>
    <col min="6401" max="6401" width="19.140625" bestFit="1" customWidth="1"/>
    <col min="6402" max="6402" width="73.140625" bestFit="1" customWidth="1"/>
    <col min="6404" max="6404" width="14.42578125" bestFit="1" customWidth="1"/>
    <col min="6405" max="6406" width="12.7109375" bestFit="1" customWidth="1"/>
    <col min="6407" max="6407" width="14.42578125" bestFit="1" customWidth="1"/>
    <col min="6657" max="6657" width="19.140625" bestFit="1" customWidth="1"/>
    <col min="6658" max="6658" width="73.140625" bestFit="1" customWidth="1"/>
    <col min="6660" max="6660" width="14.42578125" bestFit="1" customWidth="1"/>
    <col min="6661" max="6662" width="12.7109375" bestFit="1" customWidth="1"/>
    <col min="6663" max="6663" width="14.42578125" bestFit="1" customWidth="1"/>
    <col min="6913" max="6913" width="19.140625" bestFit="1" customWidth="1"/>
    <col min="6914" max="6914" width="73.140625" bestFit="1" customWidth="1"/>
    <col min="6916" max="6916" width="14.42578125" bestFit="1" customWidth="1"/>
    <col min="6917" max="6918" width="12.7109375" bestFit="1" customWidth="1"/>
    <col min="6919" max="6919" width="14.42578125" bestFit="1" customWidth="1"/>
    <col min="7169" max="7169" width="19.140625" bestFit="1" customWidth="1"/>
    <col min="7170" max="7170" width="73.140625" bestFit="1" customWidth="1"/>
    <col min="7172" max="7172" width="14.42578125" bestFit="1" customWidth="1"/>
    <col min="7173" max="7174" width="12.7109375" bestFit="1" customWidth="1"/>
    <col min="7175" max="7175" width="14.42578125" bestFit="1" customWidth="1"/>
    <col min="7425" max="7425" width="19.140625" bestFit="1" customWidth="1"/>
    <col min="7426" max="7426" width="73.140625" bestFit="1" customWidth="1"/>
    <col min="7428" max="7428" width="14.42578125" bestFit="1" customWidth="1"/>
    <col min="7429" max="7430" width="12.7109375" bestFit="1" customWidth="1"/>
    <col min="7431" max="7431" width="14.42578125" bestFit="1" customWidth="1"/>
    <col min="7681" max="7681" width="19.140625" bestFit="1" customWidth="1"/>
    <col min="7682" max="7682" width="73.140625" bestFit="1" customWidth="1"/>
    <col min="7684" max="7684" width="14.42578125" bestFit="1" customWidth="1"/>
    <col min="7685" max="7686" width="12.7109375" bestFit="1" customWidth="1"/>
    <col min="7687" max="7687" width="14.42578125" bestFit="1" customWidth="1"/>
    <col min="7937" max="7937" width="19.140625" bestFit="1" customWidth="1"/>
    <col min="7938" max="7938" width="73.140625" bestFit="1" customWidth="1"/>
    <col min="7940" max="7940" width="14.42578125" bestFit="1" customWidth="1"/>
    <col min="7941" max="7942" width="12.7109375" bestFit="1" customWidth="1"/>
    <col min="7943" max="7943" width="14.42578125" bestFit="1" customWidth="1"/>
    <col min="8193" max="8193" width="19.140625" bestFit="1" customWidth="1"/>
    <col min="8194" max="8194" width="73.140625" bestFit="1" customWidth="1"/>
    <col min="8196" max="8196" width="14.42578125" bestFit="1" customWidth="1"/>
    <col min="8197" max="8198" width="12.7109375" bestFit="1" customWidth="1"/>
    <col min="8199" max="8199" width="14.42578125" bestFit="1" customWidth="1"/>
    <col min="8449" max="8449" width="19.140625" bestFit="1" customWidth="1"/>
    <col min="8450" max="8450" width="73.140625" bestFit="1" customWidth="1"/>
    <col min="8452" max="8452" width="14.42578125" bestFit="1" customWidth="1"/>
    <col min="8453" max="8454" width="12.7109375" bestFit="1" customWidth="1"/>
    <col min="8455" max="8455" width="14.42578125" bestFit="1" customWidth="1"/>
    <col min="8705" max="8705" width="19.140625" bestFit="1" customWidth="1"/>
    <col min="8706" max="8706" width="73.140625" bestFit="1" customWidth="1"/>
    <col min="8708" max="8708" width="14.42578125" bestFit="1" customWidth="1"/>
    <col min="8709" max="8710" width="12.7109375" bestFit="1" customWidth="1"/>
    <col min="8711" max="8711" width="14.42578125" bestFit="1" customWidth="1"/>
    <col min="8961" max="8961" width="19.140625" bestFit="1" customWidth="1"/>
    <col min="8962" max="8962" width="73.140625" bestFit="1" customWidth="1"/>
    <col min="8964" max="8964" width="14.42578125" bestFit="1" customWidth="1"/>
    <col min="8965" max="8966" width="12.7109375" bestFit="1" customWidth="1"/>
    <col min="8967" max="8967" width="14.42578125" bestFit="1" customWidth="1"/>
    <col min="9217" max="9217" width="19.140625" bestFit="1" customWidth="1"/>
    <col min="9218" max="9218" width="73.140625" bestFit="1" customWidth="1"/>
    <col min="9220" max="9220" width="14.42578125" bestFit="1" customWidth="1"/>
    <col min="9221" max="9222" width="12.7109375" bestFit="1" customWidth="1"/>
    <col min="9223" max="9223" width="14.42578125" bestFit="1" customWidth="1"/>
    <col min="9473" max="9473" width="19.140625" bestFit="1" customWidth="1"/>
    <col min="9474" max="9474" width="73.140625" bestFit="1" customWidth="1"/>
    <col min="9476" max="9476" width="14.42578125" bestFit="1" customWidth="1"/>
    <col min="9477" max="9478" width="12.7109375" bestFit="1" customWidth="1"/>
    <col min="9479" max="9479" width="14.42578125" bestFit="1" customWidth="1"/>
    <col min="9729" max="9729" width="19.140625" bestFit="1" customWidth="1"/>
    <col min="9730" max="9730" width="73.140625" bestFit="1" customWidth="1"/>
    <col min="9732" max="9732" width="14.42578125" bestFit="1" customWidth="1"/>
    <col min="9733" max="9734" width="12.7109375" bestFit="1" customWidth="1"/>
    <col min="9735" max="9735" width="14.42578125" bestFit="1" customWidth="1"/>
    <col min="9985" max="9985" width="19.140625" bestFit="1" customWidth="1"/>
    <col min="9986" max="9986" width="73.140625" bestFit="1" customWidth="1"/>
    <col min="9988" max="9988" width="14.42578125" bestFit="1" customWidth="1"/>
    <col min="9989" max="9990" width="12.7109375" bestFit="1" customWidth="1"/>
    <col min="9991" max="9991" width="14.42578125" bestFit="1" customWidth="1"/>
    <col min="10241" max="10241" width="19.140625" bestFit="1" customWidth="1"/>
    <col min="10242" max="10242" width="73.140625" bestFit="1" customWidth="1"/>
    <col min="10244" max="10244" width="14.42578125" bestFit="1" customWidth="1"/>
    <col min="10245" max="10246" width="12.7109375" bestFit="1" customWidth="1"/>
    <col min="10247" max="10247" width="14.42578125" bestFit="1" customWidth="1"/>
    <col min="10497" max="10497" width="19.140625" bestFit="1" customWidth="1"/>
    <col min="10498" max="10498" width="73.140625" bestFit="1" customWidth="1"/>
    <col min="10500" max="10500" width="14.42578125" bestFit="1" customWidth="1"/>
    <col min="10501" max="10502" width="12.7109375" bestFit="1" customWidth="1"/>
    <col min="10503" max="10503" width="14.42578125" bestFit="1" customWidth="1"/>
    <col min="10753" max="10753" width="19.140625" bestFit="1" customWidth="1"/>
    <col min="10754" max="10754" width="73.140625" bestFit="1" customWidth="1"/>
    <col min="10756" max="10756" width="14.42578125" bestFit="1" customWidth="1"/>
    <col min="10757" max="10758" width="12.7109375" bestFit="1" customWidth="1"/>
    <col min="10759" max="10759" width="14.42578125" bestFit="1" customWidth="1"/>
    <col min="11009" max="11009" width="19.140625" bestFit="1" customWidth="1"/>
    <col min="11010" max="11010" width="73.140625" bestFit="1" customWidth="1"/>
    <col min="11012" max="11012" width="14.42578125" bestFit="1" customWidth="1"/>
    <col min="11013" max="11014" width="12.7109375" bestFit="1" customWidth="1"/>
    <col min="11015" max="11015" width="14.42578125" bestFit="1" customWidth="1"/>
    <col min="11265" max="11265" width="19.140625" bestFit="1" customWidth="1"/>
    <col min="11266" max="11266" width="73.140625" bestFit="1" customWidth="1"/>
    <col min="11268" max="11268" width="14.42578125" bestFit="1" customWidth="1"/>
    <col min="11269" max="11270" width="12.7109375" bestFit="1" customWidth="1"/>
    <col min="11271" max="11271" width="14.42578125" bestFit="1" customWidth="1"/>
    <col min="11521" max="11521" width="19.140625" bestFit="1" customWidth="1"/>
    <col min="11522" max="11522" width="73.140625" bestFit="1" customWidth="1"/>
    <col min="11524" max="11524" width="14.42578125" bestFit="1" customWidth="1"/>
    <col min="11525" max="11526" width="12.7109375" bestFit="1" customWidth="1"/>
    <col min="11527" max="11527" width="14.42578125" bestFit="1" customWidth="1"/>
    <col min="11777" max="11777" width="19.140625" bestFit="1" customWidth="1"/>
    <col min="11778" max="11778" width="73.140625" bestFit="1" customWidth="1"/>
    <col min="11780" max="11780" width="14.42578125" bestFit="1" customWidth="1"/>
    <col min="11781" max="11782" width="12.7109375" bestFit="1" customWidth="1"/>
    <col min="11783" max="11783" width="14.42578125" bestFit="1" customWidth="1"/>
    <col min="12033" max="12033" width="19.140625" bestFit="1" customWidth="1"/>
    <col min="12034" max="12034" width="73.140625" bestFit="1" customWidth="1"/>
    <col min="12036" max="12036" width="14.42578125" bestFit="1" customWidth="1"/>
    <col min="12037" max="12038" width="12.7109375" bestFit="1" customWidth="1"/>
    <col min="12039" max="12039" width="14.42578125" bestFit="1" customWidth="1"/>
    <col min="12289" max="12289" width="19.140625" bestFit="1" customWidth="1"/>
    <col min="12290" max="12290" width="73.140625" bestFit="1" customWidth="1"/>
    <col min="12292" max="12292" width="14.42578125" bestFit="1" customWidth="1"/>
    <col min="12293" max="12294" width="12.7109375" bestFit="1" customWidth="1"/>
    <col min="12295" max="12295" width="14.42578125" bestFit="1" customWidth="1"/>
    <col min="12545" max="12545" width="19.140625" bestFit="1" customWidth="1"/>
    <col min="12546" max="12546" width="73.140625" bestFit="1" customWidth="1"/>
    <col min="12548" max="12548" width="14.42578125" bestFit="1" customWidth="1"/>
    <col min="12549" max="12550" width="12.7109375" bestFit="1" customWidth="1"/>
    <col min="12551" max="12551" width="14.42578125" bestFit="1" customWidth="1"/>
    <col min="12801" max="12801" width="19.140625" bestFit="1" customWidth="1"/>
    <col min="12802" max="12802" width="73.140625" bestFit="1" customWidth="1"/>
    <col min="12804" max="12804" width="14.42578125" bestFit="1" customWidth="1"/>
    <col min="12805" max="12806" width="12.7109375" bestFit="1" customWidth="1"/>
    <col min="12807" max="12807" width="14.42578125" bestFit="1" customWidth="1"/>
    <col min="13057" max="13057" width="19.140625" bestFit="1" customWidth="1"/>
    <col min="13058" max="13058" width="73.140625" bestFit="1" customWidth="1"/>
    <col min="13060" max="13060" width="14.42578125" bestFit="1" customWidth="1"/>
    <col min="13061" max="13062" width="12.7109375" bestFit="1" customWidth="1"/>
    <col min="13063" max="13063" width="14.42578125" bestFit="1" customWidth="1"/>
    <col min="13313" max="13313" width="19.140625" bestFit="1" customWidth="1"/>
    <col min="13314" max="13314" width="73.140625" bestFit="1" customWidth="1"/>
    <col min="13316" max="13316" width="14.42578125" bestFit="1" customWidth="1"/>
    <col min="13317" max="13318" width="12.7109375" bestFit="1" customWidth="1"/>
    <col min="13319" max="13319" width="14.42578125" bestFit="1" customWidth="1"/>
    <col min="13569" max="13569" width="19.140625" bestFit="1" customWidth="1"/>
    <col min="13570" max="13570" width="73.140625" bestFit="1" customWidth="1"/>
    <col min="13572" max="13572" width="14.42578125" bestFit="1" customWidth="1"/>
    <col min="13573" max="13574" width="12.7109375" bestFit="1" customWidth="1"/>
    <col min="13575" max="13575" width="14.42578125" bestFit="1" customWidth="1"/>
    <col min="13825" max="13825" width="19.140625" bestFit="1" customWidth="1"/>
    <col min="13826" max="13826" width="73.140625" bestFit="1" customWidth="1"/>
    <col min="13828" max="13828" width="14.42578125" bestFit="1" customWidth="1"/>
    <col min="13829" max="13830" width="12.7109375" bestFit="1" customWidth="1"/>
    <col min="13831" max="13831" width="14.42578125" bestFit="1" customWidth="1"/>
    <col min="14081" max="14081" width="19.140625" bestFit="1" customWidth="1"/>
    <col min="14082" max="14082" width="73.140625" bestFit="1" customWidth="1"/>
    <col min="14084" max="14084" width="14.42578125" bestFit="1" customWidth="1"/>
    <col min="14085" max="14086" width="12.7109375" bestFit="1" customWidth="1"/>
    <col min="14087" max="14087" width="14.42578125" bestFit="1" customWidth="1"/>
    <col min="14337" max="14337" width="19.140625" bestFit="1" customWidth="1"/>
    <col min="14338" max="14338" width="73.140625" bestFit="1" customWidth="1"/>
    <col min="14340" max="14340" width="14.42578125" bestFit="1" customWidth="1"/>
    <col min="14341" max="14342" width="12.7109375" bestFit="1" customWidth="1"/>
    <col min="14343" max="14343" width="14.42578125" bestFit="1" customWidth="1"/>
    <col min="14593" max="14593" width="19.140625" bestFit="1" customWidth="1"/>
    <col min="14594" max="14594" width="73.140625" bestFit="1" customWidth="1"/>
    <col min="14596" max="14596" width="14.42578125" bestFit="1" customWidth="1"/>
    <col min="14597" max="14598" width="12.7109375" bestFit="1" customWidth="1"/>
    <col min="14599" max="14599" width="14.42578125" bestFit="1" customWidth="1"/>
    <col min="14849" max="14849" width="19.140625" bestFit="1" customWidth="1"/>
    <col min="14850" max="14850" width="73.140625" bestFit="1" customWidth="1"/>
    <col min="14852" max="14852" width="14.42578125" bestFit="1" customWidth="1"/>
    <col min="14853" max="14854" width="12.7109375" bestFit="1" customWidth="1"/>
    <col min="14855" max="14855" width="14.42578125" bestFit="1" customWidth="1"/>
    <col min="15105" max="15105" width="19.140625" bestFit="1" customWidth="1"/>
    <col min="15106" max="15106" width="73.140625" bestFit="1" customWidth="1"/>
    <col min="15108" max="15108" width="14.42578125" bestFit="1" customWidth="1"/>
    <col min="15109" max="15110" width="12.7109375" bestFit="1" customWidth="1"/>
    <col min="15111" max="15111" width="14.42578125" bestFit="1" customWidth="1"/>
    <col min="15361" max="15361" width="19.140625" bestFit="1" customWidth="1"/>
    <col min="15362" max="15362" width="73.140625" bestFit="1" customWidth="1"/>
    <col min="15364" max="15364" width="14.42578125" bestFit="1" customWidth="1"/>
    <col min="15365" max="15366" width="12.7109375" bestFit="1" customWidth="1"/>
    <col min="15367" max="15367" width="14.42578125" bestFit="1" customWidth="1"/>
    <col min="15617" max="15617" width="19.140625" bestFit="1" customWidth="1"/>
    <col min="15618" max="15618" width="73.140625" bestFit="1" customWidth="1"/>
    <col min="15620" max="15620" width="14.42578125" bestFit="1" customWidth="1"/>
    <col min="15621" max="15622" width="12.7109375" bestFit="1" customWidth="1"/>
    <col min="15623" max="15623" width="14.42578125" bestFit="1" customWidth="1"/>
    <col min="15873" max="15873" width="19.140625" bestFit="1" customWidth="1"/>
    <col min="15874" max="15874" width="73.140625" bestFit="1" customWidth="1"/>
    <col min="15876" max="15876" width="14.42578125" bestFit="1" customWidth="1"/>
    <col min="15877" max="15878" width="12.7109375" bestFit="1" customWidth="1"/>
    <col min="15879" max="15879" width="14.42578125" bestFit="1" customWidth="1"/>
    <col min="16129" max="16129" width="19.140625" bestFit="1" customWidth="1"/>
    <col min="16130" max="16130" width="73.140625" bestFit="1" customWidth="1"/>
    <col min="16132" max="16132" width="14.42578125" bestFit="1" customWidth="1"/>
    <col min="16133" max="16134" width="12.7109375" bestFit="1" customWidth="1"/>
    <col min="16135" max="16135" width="14.42578125" bestFit="1" customWidth="1"/>
  </cols>
  <sheetData>
    <row r="1" spans="1:7" x14ac:dyDescent="0.25">
      <c r="A1" t="s">
        <v>262</v>
      </c>
      <c r="B1" t="s">
        <v>263</v>
      </c>
      <c r="C1" t="s">
        <v>264</v>
      </c>
      <c r="D1" s="85" t="s">
        <v>265</v>
      </c>
      <c r="E1" s="85" t="s">
        <v>266</v>
      </c>
      <c r="F1" s="85" t="s">
        <v>267</v>
      </c>
      <c r="G1" s="85" t="s">
        <v>268</v>
      </c>
    </row>
    <row r="2" spans="1:7" x14ac:dyDescent="0.25">
      <c r="A2" t="s">
        <v>269</v>
      </c>
      <c r="B2" t="s">
        <v>270</v>
      </c>
      <c r="C2" t="s">
        <v>271</v>
      </c>
      <c r="D2" s="85">
        <v>518679039.60000002</v>
      </c>
      <c r="E2" s="85">
        <v>78397913.769999996</v>
      </c>
      <c r="F2" s="85">
        <v>76363190.709999993</v>
      </c>
      <c r="G2" s="85">
        <v>520713762.66000003</v>
      </c>
    </row>
    <row r="3" spans="1:7" x14ac:dyDescent="0.25">
      <c r="A3" t="s">
        <v>272</v>
      </c>
      <c r="B3" t="s">
        <v>273</v>
      </c>
      <c r="C3" t="s">
        <v>271</v>
      </c>
      <c r="D3" s="85">
        <v>258502619.69</v>
      </c>
      <c r="E3" s="85">
        <v>73836920.730000004</v>
      </c>
      <c r="F3" s="85">
        <v>72208097.120000005</v>
      </c>
      <c r="G3" s="85">
        <v>260131443.30000001</v>
      </c>
    </row>
    <row r="4" spans="1:7" x14ac:dyDescent="0.25">
      <c r="A4" t="s">
        <v>274</v>
      </c>
      <c r="B4" t="s">
        <v>275</v>
      </c>
      <c r="C4" t="s">
        <v>271</v>
      </c>
      <c r="D4" s="85">
        <v>224889834.05000001</v>
      </c>
      <c r="E4" s="85">
        <v>47295613.049999997</v>
      </c>
      <c r="F4" s="85">
        <v>40417321.68</v>
      </c>
      <c r="G4" s="85">
        <v>231768125.41999999</v>
      </c>
    </row>
    <row r="5" spans="1:7" x14ac:dyDescent="0.25">
      <c r="A5" t="s">
        <v>276</v>
      </c>
      <c r="B5" t="s">
        <v>277</v>
      </c>
      <c r="C5" t="s">
        <v>271</v>
      </c>
      <c r="D5" s="85">
        <v>136377.60999999999</v>
      </c>
      <c r="E5" s="85">
        <v>28542730.52</v>
      </c>
      <c r="F5" s="85">
        <v>28631012.629999999</v>
      </c>
      <c r="G5" s="85">
        <v>48095.5</v>
      </c>
    </row>
    <row r="6" spans="1:7" x14ac:dyDescent="0.25">
      <c r="A6" t="s">
        <v>278</v>
      </c>
      <c r="B6" t="s">
        <v>279</v>
      </c>
      <c r="C6" t="s">
        <v>271</v>
      </c>
      <c r="D6" s="85">
        <v>342.35</v>
      </c>
      <c r="E6" s="85">
        <v>857.65</v>
      </c>
      <c r="F6" s="85">
        <v>993.6</v>
      </c>
      <c r="G6" s="85">
        <v>206.4</v>
      </c>
    </row>
    <row r="7" spans="1:7" x14ac:dyDescent="0.25">
      <c r="A7" t="s">
        <v>280</v>
      </c>
      <c r="B7" t="s">
        <v>277</v>
      </c>
      <c r="C7" t="s">
        <v>271</v>
      </c>
      <c r="D7" s="85">
        <v>342.35</v>
      </c>
      <c r="E7" s="85">
        <v>857.65</v>
      </c>
      <c r="F7" s="85">
        <v>993.6</v>
      </c>
      <c r="G7" s="85">
        <v>206.4</v>
      </c>
    </row>
    <row r="8" spans="1:7" x14ac:dyDescent="0.25">
      <c r="A8" t="s">
        <v>281</v>
      </c>
      <c r="B8" t="s">
        <v>277</v>
      </c>
      <c r="C8" t="s">
        <v>271</v>
      </c>
      <c r="D8" s="85">
        <v>342.35</v>
      </c>
      <c r="E8" s="85">
        <v>857.65</v>
      </c>
      <c r="F8" s="85">
        <v>993.6</v>
      </c>
      <c r="G8" s="85">
        <v>206.4</v>
      </c>
    </row>
    <row r="9" spans="1:7" x14ac:dyDescent="0.25">
      <c r="A9" t="s">
        <v>282</v>
      </c>
      <c r="B9" t="s">
        <v>277</v>
      </c>
      <c r="C9" t="s">
        <v>283</v>
      </c>
      <c r="D9" s="85">
        <v>342.35</v>
      </c>
      <c r="E9" s="85">
        <v>857.65</v>
      </c>
      <c r="F9" s="85">
        <v>993.6</v>
      </c>
      <c r="G9" s="85">
        <v>206.4</v>
      </c>
    </row>
    <row r="10" spans="1:7" x14ac:dyDescent="0.25">
      <c r="A10" t="s">
        <v>284</v>
      </c>
      <c r="B10" t="s">
        <v>285</v>
      </c>
      <c r="C10" t="s">
        <v>271</v>
      </c>
      <c r="D10" s="85">
        <v>136039.88</v>
      </c>
      <c r="E10" s="85">
        <v>28541672.870000001</v>
      </c>
      <c r="F10" s="85">
        <v>28630019.02</v>
      </c>
      <c r="G10" s="85">
        <v>47693.73</v>
      </c>
    </row>
    <row r="11" spans="1:7" x14ac:dyDescent="0.25">
      <c r="A11" t="s">
        <v>286</v>
      </c>
      <c r="B11" t="s">
        <v>287</v>
      </c>
      <c r="C11" t="s">
        <v>271</v>
      </c>
      <c r="D11" s="85">
        <v>136039.88</v>
      </c>
      <c r="E11" s="85">
        <v>28541672.870000001</v>
      </c>
      <c r="F11" s="85">
        <v>28630019.02</v>
      </c>
      <c r="G11" s="85">
        <v>47693.73</v>
      </c>
    </row>
    <row r="12" spans="1:7" x14ac:dyDescent="0.25">
      <c r="A12" t="s">
        <v>288</v>
      </c>
      <c r="B12" t="s">
        <v>287</v>
      </c>
      <c r="C12" t="s">
        <v>271</v>
      </c>
      <c r="D12" s="85">
        <v>134855.39000000001</v>
      </c>
      <c r="E12" s="85">
        <v>28536163.829999998</v>
      </c>
      <c r="F12" s="85">
        <v>28630019.02</v>
      </c>
      <c r="G12" s="85">
        <v>41000.199999999997</v>
      </c>
    </row>
    <row r="13" spans="1:7" x14ac:dyDescent="0.25">
      <c r="A13" t="s">
        <v>289</v>
      </c>
      <c r="B13" t="s">
        <v>290</v>
      </c>
      <c r="C13" t="s">
        <v>283</v>
      </c>
      <c r="D13" s="85">
        <v>0</v>
      </c>
      <c r="E13" s="85">
        <v>220786.66</v>
      </c>
      <c r="F13" s="85">
        <v>220786.66</v>
      </c>
      <c r="G13" s="85">
        <v>0</v>
      </c>
    </row>
    <row r="14" spans="1:7" x14ac:dyDescent="0.25">
      <c r="A14" t="s">
        <v>291</v>
      </c>
      <c r="B14" t="s">
        <v>292</v>
      </c>
      <c r="C14" t="s">
        <v>283</v>
      </c>
      <c r="D14" s="85">
        <v>92784.76</v>
      </c>
      <c r="E14" s="85">
        <v>184074.87</v>
      </c>
      <c r="F14" s="85">
        <v>275036.79999999999</v>
      </c>
      <c r="G14" s="85">
        <v>1822.83</v>
      </c>
    </row>
    <row r="15" spans="1:7" x14ac:dyDescent="0.25">
      <c r="A15" t="s">
        <v>293</v>
      </c>
      <c r="B15" t="s">
        <v>294</v>
      </c>
      <c r="C15" t="s">
        <v>283</v>
      </c>
      <c r="D15" s="85">
        <v>16133.67</v>
      </c>
      <c r="E15" s="85">
        <v>5067398.99</v>
      </c>
      <c r="F15" s="85">
        <v>5072353.38</v>
      </c>
      <c r="G15" s="85">
        <v>11179.28</v>
      </c>
    </row>
    <row r="16" spans="1:7" x14ac:dyDescent="0.25">
      <c r="A16" t="s">
        <v>295</v>
      </c>
      <c r="B16" t="s">
        <v>296</v>
      </c>
      <c r="C16" t="s">
        <v>283</v>
      </c>
      <c r="D16" s="85">
        <v>10</v>
      </c>
      <c r="E16" s="85">
        <v>22241189.52</v>
      </c>
      <c r="F16" s="85">
        <v>22241189.52</v>
      </c>
      <c r="G16" s="85">
        <v>10</v>
      </c>
    </row>
    <row r="17" spans="1:7" x14ac:dyDescent="0.25">
      <c r="A17" t="s">
        <v>297</v>
      </c>
      <c r="B17" t="s">
        <v>298</v>
      </c>
      <c r="C17" t="s">
        <v>283</v>
      </c>
      <c r="D17" s="85">
        <v>443.81</v>
      </c>
      <c r="E17" s="85">
        <v>491869.69</v>
      </c>
      <c r="F17" s="85">
        <v>490012.84</v>
      </c>
      <c r="G17" s="85">
        <v>2300.66</v>
      </c>
    </row>
    <row r="18" spans="1:7" x14ac:dyDescent="0.25">
      <c r="A18" t="s">
        <v>2751</v>
      </c>
      <c r="B18" t="s">
        <v>2752</v>
      </c>
      <c r="C18" t="s">
        <v>283</v>
      </c>
      <c r="D18" s="85">
        <v>0</v>
      </c>
      <c r="E18" s="85">
        <v>942.28</v>
      </c>
      <c r="F18" s="85">
        <v>560</v>
      </c>
      <c r="G18" s="85">
        <v>382.28</v>
      </c>
    </row>
    <row r="19" spans="1:7" x14ac:dyDescent="0.25">
      <c r="A19" t="s">
        <v>299</v>
      </c>
      <c r="B19" t="s">
        <v>300</v>
      </c>
      <c r="C19" t="s">
        <v>283</v>
      </c>
      <c r="D19" s="85">
        <v>25482.15</v>
      </c>
      <c r="E19" s="85">
        <v>0</v>
      </c>
      <c r="F19" s="85">
        <v>178</v>
      </c>
      <c r="G19" s="85">
        <v>25304.15</v>
      </c>
    </row>
    <row r="20" spans="1:7" x14ac:dyDescent="0.25">
      <c r="A20" t="s">
        <v>2406</v>
      </c>
      <c r="B20" t="s">
        <v>2407</v>
      </c>
      <c r="C20" t="s">
        <v>283</v>
      </c>
      <c r="D20" s="85">
        <v>1</v>
      </c>
      <c r="E20" s="85">
        <v>329901.82</v>
      </c>
      <c r="F20" s="85">
        <v>329901.82</v>
      </c>
      <c r="G20" s="85">
        <v>1</v>
      </c>
    </row>
    <row r="21" spans="1:7" x14ac:dyDescent="0.25">
      <c r="A21" t="s">
        <v>301</v>
      </c>
      <c r="B21" t="s">
        <v>302</v>
      </c>
      <c r="C21" t="s">
        <v>271</v>
      </c>
      <c r="D21" s="85">
        <v>1184.49</v>
      </c>
      <c r="E21" s="85">
        <v>5509.04</v>
      </c>
      <c r="F21" s="85">
        <v>0</v>
      </c>
      <c r="G21" s="85">
        <v>6693.53</v>
      </c>
    </row>
    <row r="22" spans="1:7" x14ac:dyDescent="0.25">
      <c r="A22" t="s">
        <v>303</v>
      </c>
      <c r="B22" t="s">
        <v>304</v>
      </c>
      <c r="C22" t="s">
        <v>283</v>
      </c>
      <c r="D22" s="85">
        <v>1184.49</v>
      </c>
      <c r="E22" s="85">
        <v>5509.04</v>
      </c>
      <c r="F22" s="85">
        <v>0</v>
      </c>
      <c r="G22" s="85">
        <v>6693.53</v>
      </c>
    </row>
    <row r="23" spans="1:7" x14ac:dyDescent="0.25">
      <c r="A23" t="s">
        <v>305</v>
      </c>
      <c r="B23" t="s">
        <v>306</v>
      </c>
      <c r="C23" t="s">
        <v>271</v>
      </c>
      <c r="D23" s="85">
        <v>-4.62</v>
      </c>
      <c r="E23" s="85">
        <v>200</v>
      </c>
      <c r="F23" s="85">
        <v>0.01</v>
      </c>
      <c r="G23" s="85">
        <v>195.37</v>
      </c>
    </row>
    <row r="24" spans="1:7" x14ac:dyDescent="0.25">
      <c r="A24" t="s">
        <v>307</v>
      </c>
      <c r="B24" t="s">
        <v>302</v>
      </c>
      <c r="C24" t="s">
        <v>271</v>
      </c>
      <c r="D24" s="85">
        <v>-4.62</v>
      </c>
      <c r="E24" s="85">
        <v>200</v>
      </c>
      <c r="F24" s="85">
        <v>0.01</v>
      </c>
      <c r="G24" s="85">
        <v>195.37</v>
      </c>
    </row>
    <row r="25" spans="1:7" x14ac:dyDescent="0.25">
      <c r="A25" t="s">
        <v>308</v>
      </c>
      <c r="B25" t="s">
        <v>306</v>
      </c>
      <c r="C25" t="s">
        <v>283</v>
      </c>
      <c r="D25" s="85">
        <v>-4.62</v>
      </c>
      <c r="E25" s="85">
        <v>200</v>
      </c>
      <c r="F25" s="85">
        <v>0.01</v>
      </c>
      <c r="G25" s="85">
        <v>195.37</v>
      </c>
    </row>
    <row r="26" spans="1:7" x14ac:dyDescent="0.25">
      <c r="A26" t="s">
        <v>309</v>
      </c>
      <c r="B26" t="s">
        <v>310</v>
      </c>
      <c r="C26" t="s">
        <v>271</v>
      </c>
      <c r="D26" s="85">
        <v>224753456.44</v>
      </c>
      <c r="E26" s="85">
        <v>18752882.530000001</v>
      </c>
      <c r="F26" s="85">
        <v>11786309.050000001</v>
      </c>
      <c r="G26" s="85">
        <v>231720029.91999999</v>
      </c>
    </row>
    <row r="27" spans="1:7" x14ac:dyDescent="0.25">
      <c r="A27" t="s">
        <v>311</v>
      </c>
      <c r="B27" t="s">
        <v>312</v>
      </c>
      <c r="C27" t="s">
        <v>271</v>
      </c>
      <c r="D27" s="85">
        <v>224753456.44</v>
      </c>
      <c r="E27" s="85">
        <v>18752882.530000001</v>
      </c>
      <c r="F27" s="85">
        <v>11786309.050000001</v>
      </c>
      <c r="G27" s="85">
        <v>231720029.91999999</v>
      </c>
    </row>
    <row r="28" spans="1:7" x14ac:dyDescent="0.25">
      <c r="A28" t="s">
        <v>313</v>
      </c>
      <c r="B28" t="s">
        <v>312</v>
      </c>
      <c r="C28" t="s">
        <v>271</v>
      </c>
      <c r="D28" s="85">
        <v>224753456.44</v>
      </c>
      <c r="E28" s="85">
        <v>18752882.530000001</v>
      </c>
      <c r="F28" s="85">
        <v>11786309.050000001</v>
      </c>
      <c r="G28" s="85">
        <v>231720029.91999999</v>
      </c>
    </row>
    <row r="29" spans="1:7" x14ac:dyDescent="0.25">
      <c r="A29" t="s">
        <v>314</v>
      </c>
      <c r="B29" t="s">
        <v>312</v>
      </c>
      <c r="C29" t="s">
        <v>271</v>
      </c>
      <c r="D29" s="85">
        <v>224531313.31</v>
      </c>
      <c r="E29" s="85">
        <v>18752882.530000001</v>
      </c>
      <c r="F29" s="85">
        <v>11741826.130000001</v>
      </c>
      <c r="G29" s="85">
        <v>231542369.71000001</v>
      </c>
    </row>
    <row r="30" spans="1:7" x14ac:dyDescent="0.25">
      <c r="A30" t="s">
        <v>315</v>
      </c>
      <c r="B30" t="s">
        <v>316</v>
      </c>
      <c r="C30" t="s">
        <v>283</v>
      </c>
      <c r="D30" s="85">
        <v>6712274.0300000003</v>
      </c>
      <c r="E30" s="85">
        <v>231426.36</v>
      </c>
      <c r="F30" s="85">
        <v>1860.38</v>
      </c>
      <c r="G30" s="85">
        <v>6941840.0099999998</v>
      </c>
    </row>
    <row r="31" spans="1:7" x14ac:dyDescent="0.25">
      <c r="A31" t="s">
        <v>317</v>
      </c>
      <c r="B31" t="s">
        <v>318</v>
      </c>
      <c r="C31" t="s">
        <v>283</v>
      </c>
      <c r="D31" s="85">
        <v>140172387.36000001</v>
      </c>
      <c r="E31" s="85">
        <v>3073440.1</v>
      </c>
      <c r="F31" s="85">
        <v>1051125.8600000001</v>
      </c>
      <c r="G31" s="85">
        <v>142194701.59999999</v>
      </c>
    </row>
    <row r="32" spans="1:7" x14ac:dyDescent="0.25">
      <c r="A32" t="s">
        <v>319</v>
      </c>
      <c r="B32" t="s">
        <v>320</v>
      </c>
      <c r="C32" t="s">
        <v>283</v>
      </c>
      <c r="D32" s="85">
        <v>33262.04</v>
      </c>
      <c r="E32" s="85">
        <v>57.19</v>
      </c>
      <c r="F32" s="85">
        <v>8.9</v>
      </c>
      <c r="G32" s="85">
        <v>33310.33</v>
      </c>
    </row>
    <row r="33" spans="1:7" x14ac:dyDescent="0.25">
      <c r="A33" t="s">
        <v>321</v>
      </c>
      <c r="B33" t="s">
        <v>322</v>
      </c>
      <c r="C33" t="s">
        <v>283</v>
      </c>
      <c r="D33" s="85">
        <v>2493090.62</v>
      </c>
      <c r="E33" s="85">
        <v>7663222.6399999997</v>
      </c>
      <c r="F33" s="85">
        <v>10043205.890000001</v>
      </c>
      <c r="G33" s="85">
        <v>113107.37</v>
      </c>
    </row>
    <row r="34" spans="1:7" x14ac:dyDescent="0.25">
      <c r="A34" t="s">
        <v>323</v>
      </c>
      <c r="B34" t="s">
        <v>324</v>
      </c>
      <c r="C34" t="s">
        <v>283</v>
      </c>
      <c r="D34" s="85">
        <v>13908843.189999999</v>
      </c>
      <c r="E34" s="85">
        <v>6871545.9199999999</v>
      </c>
      <c r="F34" s="85">
        <v>506094.05</v>
      </c>
      <c r="G34" s="85">
        <v>20274295.059999999</v>
      </c>
    </row>
    <row r="35" spans="1:7" x14ac:dyDescent="0.25">
      <c r="A35" t="s">
        <v>2408</v>
      </c>
      <c r="B35" t="s">
        <v>2409</v>
      </c>
      <c r="C35" t="s">
        <v>283</v>
      </c>
      <c r="D35" s="85">
        <v>31812306.789999999</v>
      </c>
      <c r="E35" s="85">
        <v>53135.74</v>
      </c>
      <c r="F35" s="85">
        <v>120478.14</v>
      </c>
      <c r="G35" s="85">
        <v>31744964.390000001</v>
      </c>
    </row>
    <row r="36" spans="1:7" x14ac:dyDescent="0.25">
      <c r="A36" t="s">
        <v>2753</v>
      </c>
      <c r="B36" t="s">
        <v>2754</v>
      </c>
      <c r="C36" t="s">
        <v>283</v>
      </c>
      <c r="D36" s="85">
        <v>29399149.280000001</v>
      </c>
      <c r="E36" s="85">
        <v>94999.94</v>
      </c>
      <c r="F36" s="85">
        <v>18999.990000000002</v>
      </c>
      <c r="G36" s="85">
        <v>29475149.23</v>
      </c>
    </row>
    <row r="37" spans="1:7" x14ac:dyDescent="0.25">
      <c r="A37" t="s">
        <v>2755</v>
      </c>
      <c r="B37" t="s">
        <v>2756</v>
      </c>
      <c r="C37" t="s">
        <v>283</v>
      </c>
      <c r="D37" s="85">
        <v>0</v>
      </c>
      <c r="E37" s="85">
        <v>275019.51</v>
      </c>
      <c r="F37" s="85">
        <v>18.89</v>
      </c>
      <c r="G37" s="85">
        <v>275000.62</v>
      </c>
    </row>
    <row r="38" spans="1:7" x14ac:dyDescent="0.25">
      <c r="A38" t="s">
        <v>2757</v>
      </c>
      <c r="B38" t="s">
        <v>2758</v>
      </c>
      <c r="C38" t="s">
        <v>283</v>
      </c>
      <c r="D38" s="85">
        <v>0</v>
      </c>
      <c r="E38" s="85">
        <v>490035.13</v>
      </c>
      <c r="F38" s="85">
        <v>34.03</v>
      </c>
      <c r="G38" s="85">
        <v>490001.1</v>
      </c>
    </row>
    <row r="39" spans="1:7" x14ac:dyDescent="0.25">
      <c r="A39" t="s">
        <v>325</v>
      </c>
      <c r="B39" t="s">
        <v>302</v>
      </c>
      <c r="C39" t="s">
        <v>271</v>
      </c>
      <c r="D39" s="85">
        <v>222143.13</v>
      </c>
      <c r="E39" s="85">
        <v>0</v>
      </c>
      <c r="F39" s="85">
        <v>44482.92</v>
      </c>
      <c r="G39" s="85">
        <v>177660.21</v>
      </c>
    </row>
    <row r="40" spans="1:7" x14ac:dyDescent="0.25">
      <c r="A40" t="s">
        <v>326</v>
      </c>
      <c r="B40" t="s">
        <v>327</v>
      </c>
      <c r="C40" t="s">
        <v>283</v>
      </c>
      <c r="D40" s="85">
        <v>222143.13</v>
      </c>
      <c r="E40" s="85">
        <v>0</v>
      </c>
      <c r="F40" s="85">
        <v>44482.92</v>
      </c>
      <c r="G40" s="85">
        <v>177660.21</v>
      </c>
    </row>
    <row r="41" spans="1:7" x14ac:dyDescent="0.25">
      <c r="A41" t="s">
        <v>328</v>
      </c>
      <c r="B41" t="s">
        <v>329</v>
      </c>
      <c r="C41" t="s">
        <v>271</v>
      </c>
      <c r="D41" s="85">
        <v>0</v>
      </c>
      <c r="E41" s="85">
        <v>13463.72</v>
      </c>
      <c r="F41" s="85">
        <v>13444.97</v>
      </c>
      <c r="G41" s="85">
        <v>18.75</v>
      </c>
    </row>
    <row r="42" spans="1:7" x14ac:dyDescent="0.25">
      <c r="A42" t="s">
        <v>330</v>
      </c>
      <c r="B42" t="s">
        <v>331</v>
      </c>
      <c r="C42" t="s">
        <v>271</v>
      </c>
      <c r="D42" s="85">
        <v>0</v>
      </c>
      <c r="E42" s="85">
        <v>13463.72</v>
      </c>
      <c r="F42" s="85">
        <v>13444.97</v>
      </c>
      <c r="G42" s="85">
        <v>18.75</v>
      </c>
    </row>
    <row r="43" spans="1:7" x14ac:dyDescent="0.25">
      <c r="A43" t="s">
        <v>332</v>
      </c>
      <c r="B43" t="s">
        <v>331</v>
      </c>
      <c r="C43" t="s">
        <v>271</v>
      </c>
      <c r="D43" s="85">
        <v>0</v>
      </c>
      <c r="E43" s="85">
        <v>13463.72</v>
      </c>
      <c r="F43" s="85">
        <v>13444.97</v>
      </c>
      <c r="G43" s="85">
        <v>18.75</v>
      </c>
    </row>
    <row r="44" spans="1:7" x14ac:dyDescent="0.25">
      <c r="A44" t="s">
        <v>333</v>
      </c>
      <c r="B44" t="s">
        <v>331</v>
      </c>
      <c r="C44" t="s">
        <v>271</v>
      </c>
      <c r="D44" s="85">
        <v>0</v>
      </c>
      <c r="E44" s="85">
        <v>13463.72</v>
      </c>
      <c r="F44" s="85">
        <v>13444.97</v>
      </c>
      <c r="G44" s="85">
        <v>18.75</v>
      </c>
    </row>
    <row r="45" spans="1:7" x14ac:dyDescent="0.25">
      <c r="A45" t="s">
        <v>334</v>
      </c>
      <c r="B45" t="s">
        <v>335</v>
      </c>
      <c r="C45" t="s">
        <v>271</v>
      </c>
      <c r="D45" s="85">
        <v>0</v>
      </c>
      <c r="E45" s="85">
        <v>13463.72</v>
      </c>
      <c r="F45" s="85">
        <v>13444.97</v>
      </c>
      <c r="G45" s="85">
        <v>18.75</v>
      </c>
    </row>
    <row r="46" spans="1:7" x14ac:dyDescent="0.25">
      <c r="A46" t="s">
        <v>2259</v>
      </c>
      <c r="B46" t="s">
        <v>2260</v>
      </c>
      <c r="C46" t="s">
        <v>283</v>
      </c>
      <c r="D46" s="85">
        <v>0</v>
      </c>
      <c r="E46" s="85">
        <v>3677.57</v>
      </c>
      <c r="F46" s="85">
        <v>3677.57</v>
      </c>
      <c r="G46" s="85">
        <v>0</v>
      </c>
    </row>
    <row r="47" spans="1:7" x14ac:dyDescent="0.25">
      <c r="A47" t="s">
        <v>2410</v>
      </c>
      <c r="B47" t="s">
        <v>2411</v>
      </c>
      <c r="C47" t="s">
        <v>283</v>
      </c>
      <c r="D47" s="85">
        <v>0</v>
      </c>
      <c r="E47" s="85">
        <v>18.75</v>
      </c>
      <c r="F47" s="85">
        <v>0</v>
      </c>
      <c r="G47" s="85">
        <v>18.75</v>
      </c>
    </row>
    <row r="48" spans="1:7" x14ac:dyDescent="0.25">
      <c r="A48" t="s">
        <v>2759</v>
      </c>
      <c r="B48" t="s">
        <v>2760</v>
      </c>
      <c r="C48" t="s">
        <v>283</v>
      </c>
      <c r="D48" s="85">
        <v>0</v>
      </c>
      <c r="E48" s="85">
        <v>3441.75</v>
      </c>
      <c r="F48" s="85">
        <v>3441.75</v>
      </c>
      <c r="G48" s="85">
        <v>0</v>
      </c>
    </row>
    <row r="49" spans="1:7" x14ac:dyDescent="0.25">
      <c r="A49" t="s">
        <v>2761</v>
      </c>
      <c r="B49" t="s">
        <v>2762</v>
      </c>
      <c r="C49" t="s">
        <v>283</v>
      </c>
      <c r="D49" s="85">
        <v>0</v>
      </c>
      <c r="E49" s="85">
        <v>3660.15</v>
      </c>
      <c r="F49" s="85">
        <v>3660.15</v>
      </c>
      <c r="G49" s="85">
        <v>0</v>
      </c>
    </row>
    <row r="50" spans="1:7" x14ac:dyDescent="0.25">
      <c r="A50" t="s">
        <v>2763</v>
      </c>
      <c r="B50" t="s">
        <v>2764</v>
      </c>
      <c r="C50" t="s">
        <v>283</v>
      </c>
      <c r="D50" s="85">
        <v>0</v>
      </c>
      <c r="E50" s="85">
        <v>2665.5</v>
      </c>
      <c r="F50" s="85">
        <v>2665.5</v>
      </c>
      <c r="G50" s="85">
        <v>0</v>
      </c>
    </row>
    <row r="51" spans="1:7" x14ac:dyDescent="0.25">
      <c r="A51" t="s">
        <v>337</v>
      </c>
      <c r="B51" t="s">
        <v>338</v>
      </c>
      <c r="C51" t="s">
        <v>271</v>
      </c>
      <c r="D51" s="85">
        <v>17465966.460000001</v>
      </c>
      <c r="E51" s="85">
        <v>18996411.809999999</v>
      </c>
      <c r="F51" s="85">
        <v>19697894.859999999</v>
      </c>
      <c r="G51" s="85">
        <v>16764483.41</v>
      </c>
    </row>
    <row r="52" spans="1:7" x14ac:dyDescent="0.25">
      <c r="A52" t="s">
        <v>339</v>
      </c>
      <c r="B52" t="s">
        <v>340</v>
      </c>
      <c r="C52" t="s">
        <v>271</v>
      </c>
      <c r="D52" s="85">
        <v>9628224.6400000006</v>
      </c>
      <c r="E52" s="85">
        <v>7993533.6900000004</v>
      </c>
      <c r="F52" s="85">
        <v>8083085.5800000001</v>
      </c>
      <c r="G52" s="85">
        <v>9538672.75</v>
      </c>
    </row>
    <row r="53" spans="1:7" x14ac:dyDescent="0.25">
      <c r="A53" t="s">
        <v>341</v>
      </c>
      <c r="B53" t="s">
        <v>342</v>
      </c>
      <c r="C53" t="s">
        <v>271</v>
      </c>
      <c r="D53" s="85">
        <v>9628224.6400000006</v>
      </c>
      <c r="E53" s="85">
        <v>7993533.6900000004</v>
      </c>
      <c r="F53" s="85">
        <v>8083085.5800000001</v>
      </c>
      <c r="G53" s="85">
        <v>9538672.75</v>
      </c>
    </row>
    <row r="54" spans="1:7" x14ac:dyDescent="0.25">
      <c r="A54" t="s">
        <v>343</v>
      </c>
      <c r="B54" t="s">
        <v>344</v>
      </c>
      <c r="C54" t="s">
        <v>271</v>
      </c>
      <c r="D54" s="85">
        <v>9133478.7799999993</v>
      </c>
      <c r="E54" s="85">
        <v>7484399.0700000003</v>
      </c>
      <c r="F54" s="85">
        <v>7588339.71</v>
      </c>
      <c r="G54" s="85">
        <v>9029538.1400000006</v>
      </c>
    </row>
    <row r="55" spans="1:7" x14ac:dyDescent="0.25">
      <c r="A55" t="s">
        <v>345</v>
      </c>
      <c r="B55" t="s">
        <v>344</v>
      </c>
      <c r="C55" t="s">
        <v>271</v>
      </c>
      <c r="D55" s="85">
        <v>9133478.7799999993</v>
      </c>
      <c r="E55" s="85">
        <v>7484399.0700000003</v>
      </c>
      <c r="F55" s="85">
        <v>7588339.71</v>
      </c>
      <c r="G55" s="85">
        <v>9029538.1400000006</v>
      </c>
    </row>
    <row r="56" spans="1:7" x14ac:dyDescent="0.25">
      <c r="A56" t="s">
        <v>346</v>
      </c>
      <c r="B56" t="s">
        <v>347</v>
      </c>
      <c r="C56" t="s">
        <v>283</v>
      </c>
      <c r="D56" s="85">
        <v>165870.31</v>
      </c>
      <c r="E56" s="85">
        <v>136564.98000000001</v>
      </c>
      <c r="F56" s="85">
        <v>121817.18</v>
      </c>
      <c r="G56" s="85">
        <v>180618.11</v>
      </c>
    </row>
    <row r="57" spans="1:7" x14ac:dyDescent="0.25">
      <c r="A57" t="s">
        <v>348</v>
      </c>
      <c r="B57" t="s">
        <v>349</v>
      </c>
      <c r="C57" t="s">
        <v>283</v>
      </c>
      <c r="D57" s="85">
        <v>234460.71</v>
      </c>
      <c r="E57" s="85">
        <v>174414.07999999999</v>
      </c>
      <c r="F57" s="85">
        <v>177299.20000000001</v>
      </c>
      <c r="G57" s="85">
        <v>231575.59</v>
      </c>
    </row>
    <row r="58" spans="1:7" x14ac:dyDescent="0.25">
      <c r="A58" t="s">
        <v>350</v>
      </c>
      <c r="B58" t="s">
        <v>351</v>
      </c>
      <c r="C58" t="s">
        <v>283</v>
      </c>
      <c r="D58" s="85">
        <v>382244.08</v>
      </c>
      <c r="E58" s="85">
        <v>277597.18</v>
      </c>
      <c r="F58" s="85">
        <v>287057.03000000003</v>
      </c>
      <c r="G58" s="85">
        <v>372784.23</v>
      </c>
    </row>
    <row r="59" spans="1:7" x14ac:dyDescent="0.25">
      <c r="A59" t="s">
        <v>352</v>
      </c>
      <c r="B59" t="s">
        <v>353</v>
      </c>
      <c r="C59" t="s">
        <v>283</v>
      </c>
      <c r="D59" s="85">
        <v>472782.09</v>
      </c>
      <c r="E59" s="85">
        <v>349583.16</v>
      </c>
      <c r="F59" s="85">
        <v>364093.23</v>
      </c>
      <c r="G59" s="85">
        <v>458272.02</v>
      </c>
    </row>
    <row r="60" spans="1:7" x14ac:dyDescent="0.25">
      <c r="A60" t="s">
        <v>354</v>
      </c>
      <c r="B60" t="s">
        <v>355</v>
      </c>
      <c r="C60" t="s">
        <v>283</v>
      </c>
      <c r="D60" s="85">
        <v>401064.57</v>
      </c>
      <c r="E60" s="85">
        <v>311059.62</v>
      </c>
      <c r="F60" s="85">
        <v>300181.19</v>
      </c>
      <c r="G60" s="85">
        <v>411943</v>
      </c>
    </row>
    <row r="61" spans="1:7" x14ac:dyDescent="0.25">
      <c r="A61" t="s">
        <v>356</v>
      </c>
      <c r="B61" t="s">
        <v>357</v>
      </c>
      <c r="C61" t="s">
        <v>283</v>
      </c>
      <c r="D61" s="85">
        <v>281067.99</v>
      </c>
      <c r="E61" s="85">
        <v>194599.32</v>
      </c>
      <c r="F61" s="85">
        <v>211525.72</v>
      </c>
      <c r="G61" s="85">
        <v>264141.59000000003</v>
      </c>
    </row>
    <row r="62" spans="1:7" x14ac:dyDescent="0.25">
      <c r="A62" t="s">
        <v>358</v>
      </c>
      <c r="B62" t="s">
        <v>359</v>
      </c>
      <c r="C62" t="s">
        <v>283</v>
      </c>
      <c r="D62" s="85">
        <v>151940.85</v>
      </c>
      <c r="E62" s="85">
        <v>124617.65</v>
      </c>
      <c r="F62" s="85">
        <v>128182.54</v>
      </c>
      <c r="G62" s="85">
        <v>148375.96</v>
      </c>
    </row>
    <row r="63" spans="1:7" x14ac:dyDescent="0.25">
      <c r="A63" t="s">
        <v>360</v>
      </c>
      <c r="B63" t="s">
        <v>361</v>
      </c>
      <c r="C63" t="s">
        <v>283</v>
      </c>
      <c r="D63" s="85">
        <v>149158.21</v>
      </c>
      <c r="E63" s="85">
        <v>117209.07</v>
      </c>
      <c r="F63" s="85">
        <v>111808.86</v>
      </c>
      <c r="G63" s="85">
        <v>154558.42000000001</v>
      </c>
    </row>
    <row r="64" spans="1:7" x14ac:dyDescent="0.25">
      <c r="A64" t="s">
        <v>362</v>
      </c>
      <c r="B64" t="s">
        <v>363</v>
      </c>
      <c r="C64" t="s">
        <v>283</v>
      </c>
      <c r="D64" s="85">
        <v>115649.66</v>
      </c>
      <c r="E64" s="85">
        <v>101062.64</v>
      </c>
      <c r="F64" s="85">
        <v>86105.53</v>
      </c>
      <c r="G64" s="85">
        <v>130606.77</v>
      </c>
    </row>
    <row r="65" spans="1:7" x14ac:dyDescent="0.25">
      <c r="A65" t="s">
        <v>364</v>
      </c>
      <c r="B65" t="s">
        <v>365</v>
      </c>
      <c r="C65" t="s">
        <v>283</v>
      </c>
      <c r="D65" s="85">
        <v>84143.9</v>
      </c>
      <c r="E65" s="85">
        <v>64673.08</v>
      </c>
      <c r="F65" s="85">
        <v>63281.77</v>
      </c>
      <c r="G65" s="85">
        <v>85535.21</v>
      </c>
    </row>
    <row r="66" spans="1:7" x14ac:dyDescent="0.25">
      <c r="A66" t="s">
        <v>366</v>
      </c>
      <c r="B66" t="s">
        <v>367</v>
      </c>
      <c r="C66" t="s">
        <v>283</v>
      </c>
      <c r="D66" s="85">
        <v>576098.14</v>
      </c>
      <c r="E66" s="85">
        <v>429320.01</v>
      </c>
      <c r="F66" s="85">
        <v>432406.09</v>
      </c>
      <c r="G66" s="85">
        <v>573012.06000000006</v>
      </c>
    </row>
    <row r="67" spans="1:7" x14ac:dyDescent="0.25">
      <c r="A67" t="s">
        <v>368</v>
      </c>
      <c r="B67" t="s">
        <v>369</v>
      </c>
      <c r="C67" t="s">
        <v>283</v>
      </c>
      <c r="D67" s="85">
        <v>769084.85</v>
      </c>
      <c r="E67" s="85">
        <v>570528.28</v>
      </c>
      <c r="F67" s="85">
        <v>395953.84</v>
      </c>
      <c r="G67" s="85">
        <v>943659.29</v>
      </c>
    </row>
    <row r="68" spans="1:7" x14ac:dyDescent="0.25">
      <c r="A68" t="s">
        <v>370</v>
      </c>
      <c r="B68" t="s">
        <v>371</v>
      </c>
      <c r="C68" t="s">
        <v>283</v>
      </c>
      <c r="D68" s="85">
        <v>10960.88</v>
      </c>
      <c r="E68" s="85">
        <v>9521.57</v>
      </c>
      <c r="F68" s="85">
        <v>10960.88</v>
      </c>
      <c r="G68" s="85">
        <v>9521.57</v>
      </c>
    </row>
    <row r="69" spans="1:7" x14ac:dyDescent="0.25">
      <c r="A69" t="s">
        <v>372</v>
      </c>
      <c r="B69" t="s">
        <v>373</v>
      </c>
      <c r="C69" t="s">
        <v>283</v>
      </c>
      <c r="D69" s="85">
        <v>71348.78</v>
      </c>
      <c r="E69" s="85">
        <v>52372.15</v>
      </c>
      <c r="F69" s="85">
        <v>55120.52</v>
      </c>
      <c r="G69" s="85">
        <v>68600.41</v>
      </c>
    </row>
    <row r="70" spans="1:7" x14ac:dyDescent="0.25">
      <c r="A70" t="s">
        <v>374</v>
      </c>
      <c r="B70" t="s">
        <v>375</v>
      </c>
      <c r="C70" t="s">
        <v>283</v>
      </c>
      <c r="D70" s="85">
        <v>58466.18</v>
      </c>
      <c r="E70" s="85">
        <v>50748.32</v>
      </c>
      <c r="F70" s="85">
        <v>46708.02</v>
      </c>
      <c r="G70" s="85">
        <v>62506.48</v>
      </c>
    </row>
    <row r="71" spans="1:7" x14ac:dyDescent="0.25">
      <c r="A71" t="s">
        <v>376</v>
      </c>
      <c r="B71" t="s">
        <v>377</v>
      </c>
      <c r="C71" t="s">
        <v>283</v>
      </c>
      <c r="D71" s="85">
        <v>460940.54</v>
      </c>
      <c r="E71" s="85">
        <v>367904.17</v>
      </c>
      <c r="F71" s="85">
        <v>344908.96</v>
      </c>
      <c r="G71" s="85">
        <v>483935.75</v>
      </c>
    </row>
    <row r="72" spans="1:7" x14ac:dyDescent="0.25">
      <c r="A72" t="s">
        <v>378</v>
      </c>
      <c r="B72" t="s">
        <v>379</v>
      </c>
      <c r="C72" t="s">
        <v>283</v>
      </c>
      <c r="D72" s="85">
        <v>114876.94</v>
      </c>
      <c r="E72" s="85">
        <v>79017.19</v>
      </c>
      <c r="F72" s="85">
        <v>88218.48</v>
      </c>
      <c r="G72" s="85">
        <v>105675.65</v>
      </c>
    </row>
    <row r="73" spans="1:7" x14ac:dyDescent="0.25">
      <c r="A73" t="s">
        <v>380</v>
      </c>
      <c r="B73" t="s">
        <v>381</v>
      </c>
      <c r="C73" t="s">
        <v>283</v>
      </c>
      <c r="D73" s="85">
        <v>33017.980000000003</v>
      </c>
      <c r="E73" s="85">
        <v>33056.51</v>
      </c>
      <c r="F73" s="85">
        <v>33017.980000000003</v>
      </c>
      <c r="G73" s="85">
        <v>33056.51</v>
      </c>
    </row>
    <row r="74" spans="1:7" x14ac:dyDescent="0.25">
      <c r="A74" t="s">
        <v>382</v>
      </c>
      <c r="B74" t="s">
        <v>383</v>
      </c>
      <c r="C74" t="s">
        <v>283</v>
      </c>
      <c r="D74" s="85">
        <v>96902.07</v>
      </c>
      <c r="E74" s="85">
        <v>78377.320000000007</v>
      </c>
      <c r="F74" s="85">
        <v>73015.34</v>
      </c>
      <c r="G74" s="85">
        <v>102264.05</v>
      </c>
    </row>
    <row r="75" spans="1:7" x14ac:dyDescent="0.25">
      <c r="A75" t="s">
        <v>384</v>
      </c>
      <c r="B75" t="s">
        <v>385</v>
      </c>
      <c r="C75" t="s">
        <v>283</v>
      </c>
      <c r="D75" s="85">
        <v>43478.22</v>
      </c>
      <c r="E75" s="85">
        <v>32896.71</v>
      </c>
      <c r="F75" s="85">
        <v>32795.599999999999</v>
      </c>
      <c r="G75" s="85">
        <v>43579.33</v>
      </c>
    </row>
    <row r="76" spans="1:7" x14ac:dyDescent="0.25">
      <c r="A76" t="s">
        <v>386</v>
      </c>
      <c r="B76" t="s">
        <v>387</v>
      </c>
      <c r="C76" t="s">
        <v>283</v>
      </c>
      <c r="D76" s="85">
        <v>541547.35</v>
      </c>
      <c r="E76" s="85">
        <v>373601.81</v>
      </c>
      <c r="F76" s="85">
        <v>541547.35</v>
      </c>
      <c r="G76" s="85">
        <v>373601.81</v>
      </c>
    </row>
    <row r="77" spans="1:7" x14ac:dyDescent="0.25">
      <c r="A77" t="s">
        <v>388</v>
      </c>
      <c r="B77" t="s">
        <v>389</v>
      </c>
      <c r="C77" t="s">
        <v>283</v>
      </c>
      <c r="D77" s="85">
        <v>278068.40999999997</v>
      </c>
      <c r="E77" s="85">
        <v>222679.75</v>
      </c>
      <c r="F77" s="85">
        <v>210553.05</v>
      </c>
      <c r="G77" s="85">
        <v>290195.11</v>
      </c>
    </row>
    <row r="78" spans="1:7" x14ac:dyDescent="0.25">
      <c r="A78" t="s">
        <v>390</v>
      </c>
      <c r="B78" t="s">
        <v>391</v>
      </c>
      <c r="C78" t="s">
        <v>283</v>
      </c>
      <c r="D78" s="85">
        <v>240626.14</v>
      </c>
      <c r="E78" s="85">
        <v>202903.85</v>
      </c>
      <c r="F78" s="85">
        <v>181397.23</v>
      </c>
      <c r="G78" s="85">
        <v>262132.76</v>
      </c>
    </row>
    <row r="79" spans="1:7" x14ac:dyDescent="0.25">
      <c r="A79" t="s">
        <v>392</v>
      </c>
      <c r="B79" t="s">
        <v>393</v>
      </c>
      <c r="C79" t="s">
        <v>283</v>
      </c>
      <c r="D79" s="85">
        <v>216579.93</v>
      </c>
      <c r="E79" s="85">
        <v>141590.06</v>
      </c>
      <c r="F79" s="85">
        <v>165212.56</v>
      </c>
      <c r="G79" s="85">
        <v>192957.43</v>
      </c>
    </row>
    <row r="80" spans="1:7" x14ac:dyDescent="0.25">
      <c r="A80" t="s">
        <v>2261</v>
      </c>
      <c r="B80" t="s">
        <v>2262</v>
      </c>
      <c r="C80" t="s">
        <v>283</v>
      </c>
      <c r="D80" s="85">
        <v>13988.42</v>
      </c>
      <c r="E80" s="85">
        <v>14816.42</v>
      </c>
      <c r="F80" s="85">
        <v>13988.42</v>
      </c>
      <c r="G80" s="85">
        <v>14816.42</v>
      </c>
    </row>
    <row r="81" spans="1:7" x14ac:dyDescent="0.25">
      <c r="A81" t="s">
        <v>394</v>
      </c>
      <c r="B81" t="s">
        <v>395</v>
      </c>
      <c r="C81" t="s">
        <v>283</v>
      </c>
      <c r="D81" s="85">
        <v>542597.79</v>
      </c>
      <c r="E81" s="85">
        <v>569115.43000000005</v>
      </c>
      <c r="F81" s="85">
        <v>541878.02</v>
      </c>
      <c r="G81" s="85">
        <v>569835.19999999995</v>
      </c>
    </row>
    <row r="82" spans="1:7" x14ac:dyDescent="0.25">
      <c r="A82" t="s">
        <v>2264</v>
      </c>
      <c r="B82" t="s">
        <v>2265</v>
      </c>
      <c r="C82" t="s">
        <v>283</v>
      </c>
      <c r="D82" s="85">
        <v>146431.53</v>
      </c>
      <c r="E82" s="85">
        <v>128797.11</v>
      </c>
      <c r="F82" s="85">
        <v>146431.53</v>
      </c>
      <c r="G82" s="85">
        <v>128797.11</v>
      </c>
    </row>
    <row r="83" spans="1:7" x14ac:dyDescent="0.25">
      <c r="A83" t="s">
        <v>2765</v>
      </c>
      <c r="B83" t="s">
        <v>2766</v>
      </c>
      <c r="C83" t="s">
        <v>283</v>
      </c>
      <c r="D83" s="85">
        <v>17299.18</v>
      </c>
      <c r="E83" s="85">
        <v>17886.419999999998</v>
      </c>
      <c r="F83" s="85">
        <v>17299.18</v>
      </c>
      <c r="G83" s="85">
        <v>17886.419999999998</v>
      </c>
    </row>
    <row r="84" spans="1:7" x14ac:dyDescent="0.25">
      <c r="A84" t="s">
        <v>2767</v>
      </c>
      <c r="B84" t="s">
        <v>2768</v>
      </c>
      <c r="C84" t="s">
        <v>283</v>
      </c>
      <c r="D84" s="85">
        <v>306731.61</v>
      </c>
      <c r="E84" s="85">
        <v>180912.64000000001</v>
      </c>
      <c r="F84" s="85">
        <v>249522.94</v>
      </c>
      <c r="G84" s="85">
        <v>238121.31</v>
      </c>
    </row>
    <row r="85" spans="1:7" x14ac:dyDescent="0.25">
      <c r="A85" t="s">
        <v>2769</v>
      </c>
      <c r="B85" t="s">
        <v>2770</v>
      </c>
      <c r="C85" t="s">
        <v>283</v>
      </c>
      <c r="D85" s="85">
        <v>456859.44</v>
      </c>
      <c r="E85" s="85">
        <v>472088.09</v>
      </c>
      <c r="F85" s="85">
        <v>456859.44</v>
      </c>
      <c r="G85" s="85">
        <v>472088.09</v>
      </c>
    </row>
    <row r="86" spans="1:7" x14ac:dyDescent="0.25">
      <c r="A86" t="s">
        <v>2771</v>
      </c>
      <c r="B86" t="s">
        <v>2772</v>
      </c>
      <c r="C86" t="s">
        <v>283</v>
      </c>
      <c r="D86" s="85">
        <v>692367.84</v>
      </c>
      <c r="E86" s="85">
        <v>715446.77</v>
      </c>
      <c r="F86" s="85">
        <v>692367.84</v>
      </c>
      <c r="G86" s="85">
        <v>715446.77</v>
      </c>
    </row>
    <row r="87" spans="1:7" x14ac:dyDescent="0.25">
      <c r="A87" t="s">
        <v>2773</v>
      </c>
      <c r="B87" t="s">
        <v>2774</v>
      </c>
      <c r="C87" t="s">
        <v>283</v>
      </c>
      <c r="D87" s="85">
        <v>819896.35</v>
      </c>
      <c r="E87" s="85">
        <v>697411.84</v>
      </c>
      <c r="F87" s="85">
        <v>819896.35</v>
      </c>
      <c r="G87" s="85">
        <v>697411.84</v>
      </c>
    </row>
    <row r="88" spans="1:7" x14ac:dyDescent="0.25">
      <c r="A88" t="s">
        <v>2775</v>
      </c>
      <c r="B88" t="s">
        <v>2776</v>
      </c>
      <c r="C88" t="s">
        <v>283</v>
      </c>
      <c r="D88" s="85">
        <v>186927.84</v>
      </c>
      <c r="E88" s="85">
        <v>192025.87</v>
      </c>
      <c r="F88" s="85">
        <v>186927.84</v>
      </c>
      <c r="G88" s="85">
        <v>192025.87</v>
      </c>
    </row>
    <row r="89" spans="1:7" x14ac:dyDescent="0.25">
      <c r="A89" t="s">
        <v>396</v>
      </c>
      <c r="B89" t="s">
        <v>397</v>
      </c>
      <c r="C89" t="s">
        <v>271</v>
      </c>
      <c r="D89" s="85">
        <v>494745.86</v>
      </c>
      <c r="E89" s="85">
        <v>509134.62</v>
      </c>
      <c r="F89" s="85">
        <v>494745.87</v>
      </c>
      <c r="G89" s="85">
        <v>509134.61</v>
      </c>
    </row>
    <row r="90" spans="1:7" x14ac:dyDescent="0.25">
      <c r="A90" t="s">
        <v>398</v>
      </c>
      <c r="B90" t="s">
        <v>397</v>
      </c>
      <c r="C90" t="s">
        <v>271</v>
      </c>
      <c r="D90" s="85">
        <v>494745.86</v>
      </c>
      <c r="E90" s="85">
        <v>509134.62</v>
      </c>
      <c r="F90" s="85">
        <v>494745.87</v>
      </c>
      <c r="G90" s="85">
        <v>509134.61</v>
      </c>
    </row>
    <row r="91" spans="1:7" x14ac:dyDescent="0.25">
      <c r="A91" t="s">
        <v>399</v>
      </c>
      <c r="B91" t="s">
        <v>400</v>
      </c>
      <c r="C91" t="s">
        <v>283</v>
      </c>
      <c r="D91" s="85">
        <v>494745.86</v>
      </c>
      <c r="E91" s="85">
        <v>509134.62</v>
      </c>
      <c r="F91" s="85">
        <v>494745.87</v>
      </c>
      <c r="G91" s="85">
        <v>509134.61</v>
      </c>
    </row>
    <row r="92" spans="1:7" x14ac:dyDescent="0.25">
      <c r="A92" t="s">
        <v>401</v>
      </c>
      <c r="B92" t="s">
        <v>402</v>
      </c>
      <c r="C92" t="s">
        <v>271</v>
      </c>
      <c r="D92" s="85">
        <v>7837741.8200000003</v>
      </c>
      <c r="E92" s="85">
        <v>11002878.119999999</v>
      </c>
      <c r="F92" s="85">
        <v>11614809.279999999</v>
      </c>
      <c r="G92" s="85">
        <v>7225810.6600000001</v>
      </c>
    </row>
    <row r="93" spans="1:7" x14ac:dyDescent="0.25">
      <c r="A93" t="s">
        <v>403</v>
      </c>
      <c r="B93" t="s">
        <v>402</v>
      </c>
      <c r="C93" t="s">
        <v>271</v>
      </c>
      <c r="D93" s="85">
        <v>7837741.8200000003</v>
      </c>
      <c r="E93" s="85">
        <v>11002878.119999999</v>
      </c>
      <c r="F93" s="85">
        <v>11614809.279999999</v>
      </c>
      <c r="G93" s="85">
        <v>7225810.6600000001</v>
      </c>
    </row>
    <row r="94" spans="1:7" x14ac:dyDescent="0.25">
      <c r="A94" t="s">
        <v>404</v>
      </c>
      <c r="B94" t="s">
        <v>405</v>
      </c>
      <c r="C94" t="s">
        <v>271</v>
      </c>
      <c r="D94" s="85">
        <v>7837741.8200000003</v>
      </c>
      <c r="E94" s="85">
        <v>11002878.119999999</v>
      </c>
      <c r="F94" s="85">
        <v>11614809.279999999</v>
      </c>
      <c r="G94" s="85">
        <v>7225810.6600000001</v>
      </c>
    </row>
    <row r="95" spans="1:7" x14ac:dyDescent="0.25">
      <c r="A95" t="s">
        <v>406</v>
      </c>
      <c r="B95" t="s">
        <v>405</v>
      </c>
      <c r="C95" t="s">
        <v>271</v>
      </c>
      <c r="D95" s="85">
        <v>4032785.26</v>
      </c>
      <c r="E95" s="85">
        <v>8300245.7300000004</v>
      </c>
      <c r="F95" s="85">
        <v>7809852.7199999997</v>
      </c>
      <c r="G95" s="85">
        <v>4523178.2699999996</v>
      </c>
    </row>
    <row r="96" spans="1:7" x14ac:dyDescent="0.25">
      <c r="A96" t="s">
        <v>407</v>
      </c>
      <c r="B96" t="s">
        <v>408</v>
      </c>
      <c r="C96" t="s">
        <v>283</v>
      </c>
      <c r="D96" s="85">
        <v>4032785.26</v>
      </c>
      <c r="E96" s="85">
        <v>8300245.7300000004</v>
      </c>
      <c r="F96" s="85">
        <v>7809852.7199999997</v>
      </c>
      <c r="G96" s="85">
        <v>4523178.2699999996</v>
      </c>
    </row>
    <row r="97" spans="1:7" x14ac:dyDescent="0.25">
      <c r="A97" t="s">
        <v>2358</v>
      </c>
      <c r="B97" t="s">
        <v>2359</v>
      </c>
      <c r="C97" t="s">
        <v>271</v>
      </c>
      <c r="D97" s="85">
        <v>3804956.56</v>
      </c>
      <c r="E97" s="85">
        <v>2702632.39</v>
      </c>
      <c r="F97" s="85">
        <v>3804956.56</v>
      </c>
      <c r="G97" s="85">
        <v>2702632.39</v>
      </c>
    </row>
    <row r="98" spans="1:7" x14ac:dyDescent="0.25">
      <c r="A98" t="s">
        <v>2777</v>
      </c>
      <c r="B98" t="s">
        <v>409</v>
      </c>
      <c r="C98" t="s">
        <v>283</v>
      </c>
      <c r="D98" s="85">
        <v>869936.76</v>
      </c>
      <c r="E98" s="85">
        <v>893662.31</v>
      </c>
      <c r="F98" s="85">
        <v>869936.76</v>
      </c>
      <c r="G98" s="85">
        <v>893662.31</v>
      </c>
    </row>
    <row r="99" spans="1:7" x14ac:dyDescent="0.25">
      <c r="A99" t="s">
        <v>2360</v>
      </c>
      <c r="B99" t="s">
        <v>2260</v>
      </c>
      <c r="C99" t="s">
        <v>283</v>
      </c>
      <c r="D99" s="85">
        <v>116749.91</v>
      </c>
      <c r="E99" s="85">
        <v>120537.65</v>
      </c>
      <c r="F99" s="85">
        <v>116749.91</v>
      </c>
      <c r="G99" s="85">
        <v>120537.65</v>
      </c>
    </row>
    <row r="100" spans="1:7" x14ac:dyDescent="0.25">
      <c r="A100" t="s">
        <v>2778</v>
      </c>
      <c r="B100" t="s">
        <v>2760</v>
      </c>
      <c r="C100" t="s">
        <v>283</v>
      </c>
      <c r="D100" s="85">
        <v>131246.39999999999</v>
      </c>
      <c r="E100" s="85">
        <v>94335.21</v>
      </c>
      <c r="F100" s="85">
        <v>131246.39999999999</v>
      </c>
      <c r="G100" s="85">
        <v>94335.21</v>
      </c>
    </row>
    <row r="101" spans="1:7" x14ac:dyDescent="0.25">
      <c r="A101" t="s">
        <v>2779</v>
      </c>
      <c r="B101" t="s">
        <v>2780</v>
      </c>
      <c r="C101" t="s">
        <v>283</v>
      </c>
      <c r="D101" s="85">
        <v>337743.44</v>
      </c>
      <c r="E101" s="85">
        <v>287287.86</v>
      </c>
      <c r="F101" s="85">
        <v>337743.44</v>
      </c>
      <c r="G101" s="85">
        <v>287287.86</v>
      </c>
    </row>
    <row r="102" spans="1:7" x14ac:dyDescent="0.25">
      <c r="A102" t="s">
        <v>2781</v>
      </c>
      <c r="B102" t="s">
        <v>2782</v>
      </c>
      <c r="C102" t="s">
        <v>283</v>
      </c>
      <c r="D102" s="85">
        <v>342208.05</v>
      </c>
      <c r="E102" s="85">
        <v>350620.56</v>
      </c>
      <c r="F102" s="85">
        <v>342208.05</v>
      </c>
      <c r="G102" s="85">
        <v>350620.56</v>
      </c>
    </row>
    <row r="103" spans="1:7" x14ac:dyDescent="0.25">
      <c r="A103" t="s">
        <v>2783</v>
      </c>
      <c r="B103" t="s">
        <v>2263</v>
      </c>
      <c r="C103" t="s">
        <v>283</v>
      </c>
      <c r="D103" s="85">
        <v>925344</v>
      </c>
      <c r="E103" s="85">
        <v>956188.8</v>
      </c>
      <c r="F103" s="85">
        <v>925344</v>
      </c>
      <c r="G103" s="85">
        <v>956188.8</v>
      </c>
    </row>
    <row r="104" spans="1:7" x14ac:dyDescent="0.25">
      <c r="A104" t="s">
        <v>2784</v>
      </c>
      <c r="B104" t="s">
        <v>2785</v>
      </c>
      <c r="C104" t="s">
        <v>283</v>
      </c>
      <c r="D104" s="85">
        <v>1081728</v>
      </c>
      <c r="E104" s="85">
        <v>0</v>
      </c>
      <c r="F104" s="85">
        <v>1081728</v>
      </c>
      <c r="G104" s="85">
        <v>0</v>
      </c>
    </row>
    <row r="105" spans="1:7" x14ac:dyDescent="0.25">
      <c r="A105" t="s">
        <v>2412</v>
      </c>
      <c r="B105" t="s">
        <v>2413</v>
      </c>
      <c r="C105" t="s">
        <v>271</v>
      </c>
      <c r="D105" s="85">
        <v>870305.83</v>
      </c>
      <c r="E105" s="85">
        <v>5062.08</v>
      </c>
      <c r="F105" s="85">
        <v>0</v>
      </c>
      <c r="G105" s="85">
        <v>875367.91</v>
      </c>
    </row>
    <row r="106" spans="1:7" x14ac:dyDescent="0.25">
      <c r="A106" t="s">
        <v>2414</v>
      </c>
      <c r="B106" t="s">
        <v>2415</v>
      </c>
      <c r="C106" t="s">
        <v>271</v>
      </c>
      <c r="D106" s="85">
        <v>870305.83</v>
      </c>
      <c r="E106" s="85">
        <v>5062.08</v>
      </c>
      <c r="F106" s="85">
        <v>0</v>
      </c>
      <c r="G106" s="85">
        <v>875367.91</v>
      </c>
    </row>
    <row r="107" spans="1:7" x14ac:dyDescent="0.25">
      <c r="A107" t="s">
        <v>2416</v>
      </c>
      <c r="B107" t="s">
        <v>2417</v>
      </c>
      <c r="C107" t="s">
        <v>271</v>
      </c>
      <c r="D107" s="85">
        <v>870305.83</v>
      </c>
      <c r="E107" s="85">
        <v>5062.08</v>
      </c>
      <c r="F107" s="85">
        <v>0</v>
      </c>
      <c r="G107" s="85">
        <v>875367.91</v>
      </c>
    </row>
    <row r="108" spans="1:7" x14ac:dyDescent="0.25">
      <c r="A108" t="s">
        <v>2418</v>
      </c>
      <c r="B108" t="s">
        <v>2419</v>
      </c>
      <c r="C108" t="s">
        <v>283</v>
      </c>
      <c r="D108" s="85">
        <v>870305.83</v>
      </c>
      <c r="E108" s="85">
        <v>5062.08</v>
      </c>
      <c r="F108" s="85">
        <v>0</v>
      </c>
      <c r="G108" s="85">
        <v>875367.91</v>
      </c>
    </row>
    <row r="109" spans="1:7" x14ac:dyDescent="0.25">
      <c r="A109" t="s">
        <v>410</v>
      </c>
      <c r="B109" t="s">
        <v>411</v>
      </c>
      <c r="C109" t="s">
        <v>271</v>
      </c>
      <c r="D109" s="85">
        <v>8603223.5999999996</v>
      </c>
      <c r="E109" s="85">
        <v>6137407.2000000002</v>
      </c>
      <c r="F109" s="85">
        <v>6387786.3399999999</v>
      </c>
      <c r="G109" s="85">
        <v>8352844.46</v>
      </c>
    </row>
    <row r="110" spans="1:7" x14ac:dyDescent="0.25">
      <c r="A110" t="s">
        <v>412</v>
      </c>
      <c r="B110" t="s">
        <v>413</v>
      </c>
      <c r="C110" t="s">
        <v>271</v>
      </c>
      <c r="D110" s="85">
        <v>8603223.5999999996</v>
      </c>
      <c r="E110" s="85">
        <v>6137407.2000000002</v>
      </c>
      <c r="F110" s="85">
        <v>6387786.3399999999</v>
      </c>
      <c r="G110" s="85">
        <v>8352844.46</v>
      </c>
    </row>
    <row r="111" spans="1:7" x14ac:dyDescent="0.25">
      <c r="A111" t="s">
        <v>414</v>
      </c>
      <c r="B111" t="s">
        <v>415</v>
      </c>
      <c r="C111" t="s">
        <v>271</v>
      </c>
      <c r="D111" s="85">
        <v>3907555.64</v>
      </c>
      <c r="E111" s="85">
        <v>4610555.05</v>
      </c>
      <c r="F111" s="85">
        <v>3320269.76</v>
      </c>
      <c r="G111" s="85">
        <v>5197840.93</v>
      </c>
    </row>
    <row r="112" spans="1:7" x14ac:dyDescent="0.25">
      <c r="A112" t="s">
        <v>416</v>
      </c>
      <c r="B112" t="s">
        <v>415</v>
      </c>
      <c r="C112" t="s">
        <v>271</v>
      </c>
      <c r="D112" s="85">
        <v>3907555.64</v>
      </c>
      <c r="E112" s="85">
        <v>4610555.05</v>
      </c>
      <c r="F112" s="85">
        <v>3320269.76</v>
      </c>
      <c r="G112" s="85">
        <v>5197840.93</v>
      </c>
    </row>
    <row r="113" spans="1:7" x14ac:dyDescent="0.25">
      <c r="A113" t="s">
        <v>417</v>
      </c>
      <c r="B113" t="s">
        <v>415</v>
      </c>
      <c r="C113" t="s">
        <v>271</v>
      </c>
      <c r="D113" s="85">
        <v>3907486.13</v>
      </c>
      <c r="E113" s="85">
        <v>4610555.05</v>
      </c>
      <c r="F113" s="85">
        <v>3320269.76</v>
      </c>
      <c r="G113" s="85">
        <v>5197771.42</v>
      </c>
    </row>
    <row r="114" spans="1:7" x14ac:dyDescent="0.25">
      <c r="A114" t="s">
        <v>418</v>
      </c>
      <c r="B114" t="s">
        <v>419</v>
      </c>
      <c r="C114" t="s">
        <v>283</v>
      </c>
      <c r="D114" s="85">
        <v>3320269.76</v>
      </c>
      <c r="E114" s="85">
        <v>0</v>
      </c>
      <c r="F114" s="85">
        <v>3320269.76</v>
      </c>
      <c r="G114" s="85">
        <v>0</v>
      </c>
    </row>
    <row r="115" spans="1:7" x14ac:dyDescent="0.25">
      <c r="A115" t="s">
        <v>2786</v>
      </c>
      <c r="B115" t="s">
        <v>2787</v>
      </c>
      <c r="C115" t="s">
        <v>283</v>
      </c>
      <c r="D115" s="85">
        <v>587216.37</v>
      </c>
      <c r="E115" s="85">
        <v>18144.990000000002</v>
      </c>
      <c r="F115" s="85">
        <v>0</v>
      </c>
      <c r="G115" s="85">
        <v>605361.36</v>
      </c>
    </row>
    <row r="116" spans="1:7" x14ac:dyDescent="0.25">
      <c r="A116" t="s">
        <v>2788</v>
      </c>
      <c r="B116" t="s">
        <v>2789</v>
      </c>
      <c r="C116" t="s">
        <v>283</v>
      </c>
      <c r="D116" s="85">
        <v>0</v>
      </c>
      <c r="E116" s="85">
        <v>4592410.0599999996</v>
      </c>
      <c r="F116" s="85">
        <v>0</v>
      </c>
      <c r="G116" s="85">
        <v>4592410.0599999996</v>
      </c>
    </row>
    <row r="117" spans="1:7" x14ac:dyDescent="0.25">
      <c r="A117" t="s">
        <v>2420</v>
      </c>
      <c r="B117" t="s">
        <v>302</v>
      </c>
      <c r="C117" t="s">
        <v>271</v>
      </c>
      <c r="D117" s="85">
        <v>69.510000000000005</v>
      </c>
      <c r="E117" s="85">
        <v>0</v>
      </c>
      <c r="F117" s="85">
        <v>0</v>
      </c>
      <c r="G117" s="85">
        <v>69.510000000000005</v>
      </c>
    </row>
    <row r="118" spans="1:7" x14ac:dyDescent="0.25">
      <c r="A118" t="s">
        <v>2421</v>
      </c>
      <c r="B118" t="s">
        <v>2422</v>
      </c>
      <c r="C118" t="s">
        <v>283</v>
      </c>
      <c r="D118" s="85">
        <v>69.510000000000005</v>
      </c>
      <c r="E118" s="85">
        <v>0</v>
      </c>
      <c r="F118" s="85">
        <v>0</v>
      </c>
      <c r="G118" s="85">
        <v>69.510000000000005</v>
      </c>
    </row>
    <row r="119" spans="1:7" x14ac:dyDescent="0.25">
      <c r="A119" t="s">
        <v>420</v>
      </c>
      <c r="B119" t="s">
        <v>421</v>
      </c>
      <c r="C119" t="s">
        <v>271</v>
      </c>
      <c r="D119" s="85">
        <v>1550416</v>
      </c>
      <c r="E119" s="85">
        <v>1457062.6</v>
      </c>
      <c r="F119" s="85">
        <v>1550562.93</v>
      </c>
      <c r="G119" s="85">
        <v>1456915.67</v>
      </c>
    </row>
    <row r="120" spans="1:7" x14ac:dyDescent="0.25">
      <c r="A120" t="s">
        <v>422</v>
      </c>
      <c r="B120" t="s">
        <v>421</v>
      </c>
      <c r="C120" t="s">
        <v>271</v>
      </c>
      <c r="D120" s="85">
        <v>1550416</v>
      </c>
      <c r="E120" s="85">
        <v>1457062.6</v>
      </c>
      <c r="F120" s="85">
        <v>1550562.93</v>
      </c>
      <c r="G120" s="85">
        <v>1456915.67</v>
      </c>
    </row>
    <row r="121" spans="1:7" x14ac:dyDescent="0.25">
      <c r="A121" t="s">
        <v>423</v>
      </c>
      <c r="B121" t="s">
        <v>421</v>
      </c>
      <c r="C121" t="s">
        <v>271</v>
      </c>
      <c r="D121" s="85">
        <v>1550416</v>
      </c>
      <c r="E121" s="85">
        <v>1457062.6</v>
      </c>
      <c r="F121" s="85">
        <v>1550562.93</v>
      </c>
      <c r="G121" s="85">
        <v>1456915.67</v>
      </c>
    </row>
    <row r="122" spans="1:7" x14ac:dyDescent="0.25">
      <c r="A122" t="s">
        <v>424</v>
      </c>
      <c r="B122" t="s">
        <v>425</v>
      </c>
      <c r="C122" t="s">
        <v>283</v>
      </c>
      <c r="D122" s="85">
        <v>1549260.55</v>
      </c>
      <c r="E122" s="85">
        <v>0</v>
      </c>
      <c r="F122" s="85">
        <v>1549260.55</v>
      </c>
      <c r="G122" s="85">
        <v>0</v>
      </c>
    </row>
    <row r="123" spans="1:7" x14ac:dyDescent="0.25">
      <c r="A123" t="s">
        <v>426</v>
      </c>
      <c r="B123" t="s">
        <v>427</v>
      </c>
      <c r="C123" t="s">
        <v>283</v>
      </c>
      <c r="D123" s="85">
        <v>1155.45</v>
      </c>
      <c r="E123" s="85">
        <v>146.93</v>
      </c>
      <c r="F123" s="85">
        <v>1302.3800000000001</v>
      </c>
      <c r="G123" s="85">
        <v>0</v>
      </c>
    </row>
    <row r="124" spans="1:7" x14ac:dyDescent="0.25">
      <c r="A124" t="s">
        <v>2790</v>
      </c>
      <c r="B124" t="s">
        <v>2791</v>
      </c>
      <c r="C124" t="s">
        <v>283</v>
      </c>
      <c r="D124" s="85">
        <v>0</v>
      </c>
      <c r="E124" s="85">
        <v>1456915.67</v>
      </c>
      <c r="F124" s="85">
        <v>0</v>
      </c>
      <c r="G124" s="85">
        <v>1456915.67</v>
      </c>
    </row>
    <row r="125" spans="1:7" x14ac:dyDescent="0.25">
      <c r="A125" t="s">
        <v>428</v>
      </c>
      <c r="B125" t="s">
        <v>429</v>
      </c>
      <c r="C125" t="s">
        <v>271</v>
      </c>
      <c r="D125" s="85">
        <v>3129804.23</v>
      </c>
      <c r="E125" s="85">
        <v>68918.33</v>
      </c>
      <c r="F125" s="85">
        <v>1514807.4</v>
      </c>
      <c r="G125" s="85">
        <v>1683915.16</v>
      </c>
    </row>
    <row r="126" spans="1:7" x14ac:dyDescent="0.25">
      <c r="A126" t="s">
        <v>430</v>
      </c>
      <c r="B126" t="s">
        <v>429</v>
      </c>
      <c r="C126" t="s">
        <v>271</v>
      </c>
      <c r="D126" s="85">
        <v>3129804.23</v>
      </c>
      <c r="E126" s="85">
        <v>68918.33</v>
      </c>
      <c r="F126" s="85">
        <v>1514807.4</v>
      </c>
      <c r="G126" s="85">
        <v>1683915.16</v>
      </c>
    </row>
    <row r="127" spans="1:7" x14ac:dyDescent="0.25">
      <c r="A127" t="s">
        <v>431</v>
      </c>
      <c r="B127" t="s">
        <v>429</v>
      </c>
      <c r="C127" t="s">
        <v>271</v>
      </c>
      <c r="D127" s="85">
        <v>3126862.96</v>
      </c>
      <c r="E127" s="85">
        <v>68893.850000000006</v>
      </c>
      <c r="F127" s="85">
        <v>1514807.4</v>
      </c>
      <c r="G127" s="85">
        <v>1680949.41</v>
      </c>
    </row>
    <row r="128" spans="1:7" x14ac:dyDescent="0.25">
      <c r="A128" t="s">
        <v>432</v>
      </c>
      <c r="B128" t="s">
        <v>433</v>
      </c>
      <c r="C128" t="s">
        <v>283</v>
      </c>
      <c r="D128" s="85">
        <v>661407.62</v>
      </c>
      <c r="E128" s="85">
        <v>14899.58</v>
      </c>
      <c r="F128" s="85">
        <v>676307.2</v>
      </c>
      <c r="G128" s="85">
        <v>0</v>
      </c>
    </row>
    <row r="129" spans="1:7" x14ac:dyDescent="0.25">
      <c r="A129" t="s">
        <v>434</v>
      </c>
      <c r="B129" t="s">
        <v>435</v>
      </c>
      <c r="C129" t="s">
        <v>283</v>
      </c>
      <c r="D129" s="85">
        <v>72186.33</v>
      </c>
      <c r="E129" s="85">
        <v>6101.53</v>
      </c>
      <c r="F129" s="85">
        <v>78287.86</v>
      </c>
      <c r="G129" s="85">
        <v>0</v>
      </c>
    </row>
    <row r="130" spans="1:7" x14ac:dyDescent="0.25">
      <c r="A130" t="s">
        <v>436</v>
      </c>
      <c r="B130" t="s">
        <v>2792</v>
      </c>
      <c r="C130" t="s">
        <v>283</v>
      </c>
      <c r="D130" s="85">
        <v>1640248.22</v>
      </c>
      <c r="E130" s="85">
        <v>47237</v>
      </c>
      <c r="F130" s="85">
        <v>6535.81</v>
      </c>
      <c r="G130" s="85">
        <v>1680949.41</v>
      </c>
    </row>
    <row r="131" spans="1:7" x14ac:dyDescent="0.25">
      <c r="A131" t="s">
        <v>437</v>
      </c>
      <c r="B131" t="s">
        <v>438</v>
      </c>
      <c r="C131" t="s">
        <v>283</v>
      </c>
      <c r="D131" s="85">
        <v>747303.32</v>
      </c>
      <c r="E131" s="85">
        <v>0</v>
      </c>
      <c r="F131" s="85">
        <v>747303.32</v>
      </c>
      <c r="G131" s="85">
        <v>0</v>
      </c>
    </row>
    <row r="132" spans="1:7" x14ac:dyDescent="0.25">
      <c r="A132" t="s">
        <v>439</v>
      </c>
      <c r="B132" t="s">
        <v>440</v>
      </c>
      <c r="C132" t="s">
        <v>283</v>
      </c>
      <c r="D132" s="85">
        <v>1733.13</v>
      </c>
      <c r="E132" s="85">
        <v>220.39</v>
      </c>
      <c r="F132" s="85">
        <v>1953.52</v>
      </c>
      <c r="G132" s="85">
        <v>0</v>
      </c>
    </row>
    <row r="133" spans="1:7" x14ac:dyDescent="0.25">
      <c r="A133" t="s">
        <v>2793</v>
      </c>
      <c r="B133" t="s">
        <v>2794</v>
      </c>
      <c r="C133" t="s">
        <v>283</v>
      </c>
      <c r="D133" s="85">
        <v>3984.34</v>
      </c>
      <c r="E133" s="85">
        <v>435.35</v>
      </c>
      <c r="F133" s="85">
        <v>4419.6899999999996</v>
      </c>
      <c r="G133" s="85">
        <v>0</v>
      </c>
    </row>
    <row r="134" spans="1:7" x14ac:dyDescent="0.25">
      <c r="A134" t="s">
        <v>441</v>
      </c>
      <c r="B134" t="s">
        <v>302</v>
      </c>
      <c r="C134" t="s">
        <v>271</v>
      </c>
      <c r="D134" s="85">
        <v>2941.27</v>
      </c>
      <c r="E134" s="85">
        <v>24.48</v>
      </c>
      <c r="F134" s="85">
        <v>0</v>
      </c>
      <c r="G134" s="85">
        <v>2965.75</v>
      </c>
    </row>
    <row r="135" spans="1:7" x14ac:dyDescent="0.25">
      <c r="A135" t="s">
        <v>442</v>
      </c>
      <c r="B135" t="s">
        <v>443</v>
      </c>
      <c r="C135" t="s">
        <v>283</v>
      </c>
      <c r="D135" s="85">
        <v>2941.27</v>
      </c>
      <c r="E135" s="85">
        <v>24.48</v>
      </c>
      <c r="F135" s="85">
        <v>0</v>
      </c>
      <c r="G135" s="85">
        <v>2965.75</v>
      </c>
    </row>
    <row r="136" spans="1:7" x14ac:dyDescent="0.25">
      <c r="A136" t="s">
        <v>444</v>
      </c>
      <c r="B136" t="s">
        <v>445</v>
      </c>
      <c r="C136" t="s">
        <v>271</v>
      </c>
      <c r="D136" s="85">
        <v>751</v>
      </c>
      <c r="E136" s="85">
        <v>95.5</v>
      </c>
      <c r="F136" s="85">
        <v>0</v>
      </c>
      <c r="G136" s="85">
        <v>846.5</v>
      </c>
    </row>
    <row r="137" spans="1:7" x14ac:dyDescent="0.25">
      <c r="A137" t="s">
        <v>446</v>
      </c>
      <c r="B137" t="s">
        <v>445</v>
      </c>
      <c r="C137" t="s">
        <v>271</v>
      </c>
      <c r="D137" s="85">
        <v>751</v>
      </c>
      <c r="E137" s="85">
        <v>95.5</v>
      </c>
      <c r="F137" s="85">
        <v>0</v>
      </c>
      <c r="G137" s="85">
        <v>846.5</v>
      </c>
    </row>
    <row r="138" spans="1:7" x14ac:dyDescent="0.25">
      <c r="A138" t="s">
        <v>447</v>
      </c>
      <c r="B138" t="s">
        <v>445</v>
      </c>
      <c r="C138" t="s">
        <v>271</v>
      </c>
      <c r="D138" s="85">
        <v>751</v>
      </c>
      <c r="E138" s="85">
        <v>95.5</v>
      </c>
      <c r="F138" s="85">
        <v>0</v>
      </c>
      <c r="G138" s="85">
        <v>846.5</v>
      </c>
    </row>
    <row r="139" spans="1:7" x14ac:dyDescent="0.25">
      <c r="A139" t="s">
        <v>448</v>
      </c>
      <c r="B139" t="s">
        <v>449</v>
      </c>
      <c r="C139" t="s">
        <v>283</v>
      </c>
      <c r="D139" s="85">
        <v>751</v>
      </c>
      <c r="E139" s="85">
        <v>95.5</v>
      </c>
      <c r="F139" s="85">
        <v>0</v>
      </c>
      <c r="G139" s="85">
        <v>846.5</v>
      </c>
    </row>
    <row r="140" spans="1:7" x14ac:dyDescent="0.25">
      <c r="A140" t="s">
        <v>450</v>
      </c>
      <c r="B140" t="s">
        <v>216</v>
      </c>
      <c r="C140" t="s">
        <v>271</v>
      </c>
      <c r="D140" s="85">
        <v>3466.21</v>
      </c>
      <c r="E140" s="85">
        <v>440.77</v>
      </c>
      <c r="F140" s="85">
        <v>0</v>
      </c>
      <c r="G140" s="85">
        <v>3906.98</v>
      </c>
    </row>
    <row r="141" spans="1:7" x14ac:dyDescent="0.25">
      <c r="A141" t="s">
        <v>451</v>
      </c>
      <c r="B141" t="s">
        <v>216</v>
      </c>
      <c r="C141" t="s">
        <v>271</v>
      </c>
      <c r="D141" s="85">
        <v>3466.21</v>
      </c>
      <c r="E141" s="85">
        <v>440.77</v>
      </c>
      <c r="F141" s="85">
        <v>0</v>
      </c>
      <c r="G141" s="85">
        <v>3906.98</v>
      </c>
    </row>
    <row r="142" spans="1:7" x14ac:dyDescent="0.25">
      <c r="A142" t="s">
        <v>452</v>
      </c>
      <c r="B142" t="s">
        <v>216</v>
      </c>
      <c r="C142" t="s">
        <v>271</v>
      </c>
      <c r="D142" s="85">
        <v>3466.21</v>
      </c>
      <c r="E142" s="85">
        <v>440.77</v>
      </c>
      <c r="F142" s="85">
        <v>0</v>
      </c>
      <c r="G142" s="85">
        <v>3906.98</v>
      </c>
    </row>
    <row r="143" spans="1:7" x14ac:dyDescent="0.25">
      <c r="A143" t="s">
        <v>453</v>
      </c>
      <c r="B143" t="s">
        <v>454</v>
      </c>
      <c r="C143" t="s">
        <v>283</v>
      </c>
      <c r="D143" s="85">
        <v>3466.21</v>
      </c>
      <c r="E143" s="85">
        <v>440.77</v>
      </c>
      <c r="F143" s="85">
        <v>0</v>
      </c>
      <c r="G143" s="85">
        <v>3906.98</v>
      </c>
    </row>
    <row r="144" spans="1:7" x14ac:dyDescent="0.25">
      <c r="A144" t="s">
        <v>455</v>
      </c>
      <c r="B144" t="s">
        <v>331</v>
      </c>
      <c r="C144" t="s">
        <v>271</v>
      </c>
      <c r="D144" s="85">
        <v>11230.52</v>
      </c>
      <c r="E144" s="85">
        <v>334.95</v>
      </c>
      <c r="F144" s="85">
        <v>2146.25</v>
      </c>
      <c r="G144" s="85">
        <v>9419.2199999999993</v>
      </c>
    </row>
    <row r="145" spans="1:7" x14ac:dyDescent="0.25">
      <c r="A145" t="s">
        <v>456</v>
      </c>
      <c r="B145" t="s">
        <v>331</v>
      </c>
      <c r="C145" t="s">
        <v>271</v>
      </c>
      <c r="D145" s="85">
        <v>2901.3</v>
      </c>
      <c r="E145" s="85">
        <v>334.95</v>
      </c>
      <c r="F145" s="85">
        <v>2146.25</v>
      </c>
      <c r="G145" s="85">
        <v>1090</v>
      </c>
    </row>
    <row r="146" spans="1:7" x14ac:dyDescent="0.25">
      <c r="A146" t="s">
        <v>457</v>
      </c>
      <c r="B146" t="s">
        <v>331</v>
      </c>
      <c r="C146" t="s">
        <v>271</v>
      </c>
      <c r="D146" s="85">
        <v>2005.18</v>
      </c>
      <c r="E146" s="85">
        <v>334.95</v>
      </c>
      <c r="F146" s="85">
        <v>2146.25</v>
      </c>
      <c r="G146" s="85">
        <v>193.88</v>
      </c>
    </row>
    <row r="147" spans="1:7" x14ac:dyDescent="0.25">
      <c r="A147" t="s">
        <v>458</v>
      </c>
      <c r="B147" t="s">
        <v>459</v>
      </c>
      <c r="C147" t="s">
        <v>283</v>
      </c>
      <c r="D147" s="85">
        <v>2005.18</v>
      </c>
      <c r="E147" s="85">
        <v>0</v>
      </c>
      <c r="F147" s="85">
        <v>1811.3</v>
      </c>
      <c r="G147" s="85">
        <v>193.88</v>
      </c>
    </row>
    <row r="148" spans="1:7" x14ac:dyDescent="0.25">
      <c r="A148" t="s">
        <v>2795</v>
      </c>
      <c r="B148" t="s">
        <v>2796</v>
      </c>
      <c r="C148" t="s">
        <v>283</v>
      </c>
      <c r="D148" s="85">
        <v>0</v>
      </c>
      <c r="E148" s="85">
        <v>334.95</v>
      </c>
      <c r="F148" s="85">
        <v>334.95</v>
      </c>
      <c r="G148" s="85">
        <v>0</v>
      </c>
    </row>
    <row r="149" spans="1:7" x14ac:dyDescent="0.25">
      <c r="A149" t="s">
        <v>2797</v>
      </c>
      <c r="B149" t="s">
        <v>302</v>
      </c>
      <c r="C149" t="s">
        <v>271</v>
      </c>
      <c r="D149" s="85">
        <v>896.12</v>
      </c>
      <c r="E149" s="85">
        <v>0</v>
      </c>
      <c r="F149" s="85">
        <v>0</v>
      </c>
      <c r="G149" s="85">
        <v>896.12</v>
      </c>
    </row>
    <row r="150" spans="1:7" x14ac:dyDescent="0.25">
      <c r="A150" t="s">
        <v>2798</v>
      </c>
      <c r="B150" t="s">
        <v>331</v>
      </c>
      <c r="C150" t="s">
        <v>283</v>
      </c>
      <c r="D150" s="85">
        <v>896.12</v>
      </c>
      <c r="E150" s="85">
        <v>0</v>
      </c>
      <c r="F150" s="85">
        <v>0</v>
      </c>
      <c r="G150" s="85">
        <v>896.12</v>
      </c>
    </row>
    <row r="151" spans="1:7" x14ac:dyDescent="0.25">
      <c r="A151" t="s">
        <v>460</v>
      </c>
      <c r="B151" t="s">
        <v>461</v>
      </c>
      <c r="C151" t="s">
        <v>271</v>
      </c>
      <c r="D151" s="85">
        <v>8329.2199999999993</v>
      </c>
      <c r="E151" s="85">
        <v>0</v>
      </c>
      <c r="F151" s="85">
        <v>0</v>
      </c>
      <c r="G151" s="85">
        <v>8329.2199999999993</v>
      </c>
    </row>
    <row r="152" spans="1:7" x14ac:dyDescent="0.25">
      <c r="A152" t="s">
        <v>462</v>
      </c>
      <c r="B152" t="s">
        <v>237</v>
      </c>
      <c r="C152" t="s">
        <v>283</v>
      </c>
      <c r="D152" s="85">
        <v>8329.2199999999993</v>
      </c>
      <c r="E152" s="85">
        <v>0</v>
      </c>
      <c r="F152" s="85">
        <v>0</v>
      </c>
      <c r="G152" s="85">
        <v>8329.2199999999993</v>
      </c>
    </row>
    <row r="153" spans="1:7" x14ac:dyDescent="0.25">
      <c r="A153" t="s">
        <v>464</v>
      </c>
      <c r="B153" t="s">
        <v>465</v>
      </c>
      <c r="C153" t="s">
        <v>271</v>
      </c>
      <c r="D153" s="85">
        <v>1116337.96</v>
      </c>
      <c r="E153" s="85">
        <v>1176.3599999999999</v>
      </c>
      <c r="F153" s="85">
        <v>240959.69</v>
      </c>
      <c r="G153" s="85">
        <v>876554.63</v>
      </c>
    </row>
    <row r="154" spans="1:7" x14ac:dyDescent="0.25">
      <c r="A154" t="s">
        <v>466</v>
      </c>
      <c r="B154" t="s">
        <v>467</v>
      </c>
      <c r="C154" t="s">
        <v>271</v>
      </c>
      <c r="D154" s="85">
        <v>1116337.96</v>
      </c>
      <c r="E154" s="85">
        <v>1040.3599999999999</v>
      </c>
      <c r="F154" s="85">
        <v>240823.69</v>
      </c>
      <c r="G154" s="85">
        <v>876554.63</v>
      </c>
    </row>
    <row r="155" spans="1:7" x14ac:dyDescent="0.25">
      <c r="A155" t="s">
        <v>468</v>
      </c>
      <c r="B155" t="s">
        <v>469</v>
      </c>
      <c r="C155" t="s">
        <v>271</v>
      </c>
      <c r="D155" s="85">
        <v>1116337.96</v>
      </c>
      <c r="E155" s="85">
        <v>1040.3599999999999</v>
      </c>
      <c r="F155" s="85">
        <v>240823.69</v>
      </c>
      <c r="G155" s="85">
        <v>876554.63</v>
      </c>
    </row>
    <row r="156" spans="1:7" x14ac:dyDescent="0.25">
      <c r="A156" t="s">
        <v>2209</v>
      </c>
      <c r="B156" t="s">
        <v>335</v>
      </c>
      <c r="C156" t="s">
        <v>271</v>
      </c>
      <c r="D156" s="85">
        <v>1059895.44</v>
      </c>
      <c r="E156" s="85">
        <v>555.84</v>
      </c>
      <c r="F156" s="85">
        <v>238395.21</v>
      </c>
      <c r="G156" s="85">
        <v>822056.07</v>
      </c>
    </row>
    <row r="157" spans="1:7" x14ac:dyDescent="0.25">
      <c r="A157" t="s">
        <v>2210</v>
      </c>
      <c r="B157" t="s">
        <v>2266</v>
      </c>
      <c r="C157" t="s">
        <v>283</v>
      </c>
      <c r="D157" s="85">
        <v>15551.3</v>
      </c>
      <c r="E157" s="85">
        <v>288.77999999999997</v>
      </c>
      <c r="F157" s="85">
        <v>917.12</v>
      </c>
      <c r="G157" s="85">
        <v>14922.96</v>
      </c>
    </row>
    <row r="158" spans="1:7" x14ac:dyDescent="0.25">
      <c r="A158" t="s">
        <v>2267</v>
      </c>
      <c r="B158" t="s">
        <v>2268</v>
      </c>
      <c r="C158" t="s">
        <v>283</v>
      </c>
      <c r="D158" s="85">
        <v>1043723.45</v>
      </c>
      <c r="E158" s="85">
        <v>267.06</v>
      </c>
      <c r="F158" s="85">
        <v>237478.09</v>
      </c>
      <c r="G158" s="85">
        <v>806512.42</v>
      </c>
    </row>
    <row r="159" spans="1:7" x14ac:dyDescent="0.25">
      <c r="A159" t="s">
        <v>2269</v>
      </c>
      <c r="B159" t="s">
        <v>2270</v>
      </c>
      <c r="C159" t="s">
        <v>283</v>
      </c>
      <c r="D159" s="85">
        <v>620.69000000000005</v>
      </c>
      <c r="E159" s="85">
        <v>0</v>
      </c>
      <c r="F159" s="85">
        <v>0</v>
      </c>
      <c r="G159" s="85">
        <v>620.69000000000005</v>
      </c>
    </row>
    <row r="160" spans="1:7" x14ac:dyDescent="0.25">
      <c r="A160" t="s">
        <v>470</v>
      </c>
      <c r="B160" t="s">
        <v>471</v>
      </c>
      <c r="C160" t="s">
        <v>271</v>
      </c>
      <c r="D160" s="85">
        <v>56442.52</v>
      </c>
      <c r="E160" s="85">
        <v>484.52</v>
      </c>
      <c r="F160" s="85">
        <v>2428.48</v>
      </c>
      <c r="G160" s="85">
        <v>54498.559999999998</v>
      </c>
    </row>
    <row r="161" spans="1:7" x14ac:dyDescent="0.25">
      <c r="A161" t="s">
        <v>472</v>
      </c>
      <c r="B161" t="s">
        <v>473</v>
      </c>
      <c r="C161" t="s">
        <v>283</v>
      </c>
      <c r="D161" s="85">
        <v>56442.52</v>
      </c>
      <c r="E161" s="85">
        <v>484.52</v>
      </c>
      <c r="F161" s="85">
        <v>2428.48</v>
      </c>
      <c r="G161" s="85">
        <v>54498.559999999998</v>
      </c>
    </row>
    <row r="162" spans="1:7" x14ac:dyDescent="0.25">
      <c r="A162" t="s">
        <v>2361</v>
      </c>
      <c r="B162" t="s">
        <v>2362</v>
      </c>
      <c r="C162" t="s">
        <v>271</v>
      </c>
      <c r="D162" s="85">
        <v>0</v>
      </c>
      <c r="E162" s="85">
        <v>136</v>
      </c>
      <c r="F162" s="85">
        <v>136</v>
      </c>
      <c r="G162" s="85">
        <v>0</v>
      </c>
    </row>
    <row r="163" spans="1:7" x14ac:dyDescent="0.25">
      <c r="A163" t="s">
        <v>2363</v>
      </c>
      <c r="B163" t="s">
        <v>2364</v>
      </c>
      <c r="C163" t="s">
        <v>271</v>
      </c>
      <c r="D163" s="85">
        <v>0</v>
      </c>
      <c r="E163" s="85">
        <v>136</v>
      </c>
      <c r="F163" s="85">
        <v>136</v>
      </c>
      <c r="G163" s="85">
        <v>0</v>
      </c>
    </row>
    <row r="164" spans="1:7" x14ac:dyDescent="0.25">
      <c r="A164" t="s">
        <v>2365</v>
      </c>
      <c r="B164" t="s">
        <v>2364</v>
      </c>
      <c r="C164" t="s">
        <v>283</v>
      </c>
      <c r="D164" s="85">
        <v>0</v>
      </c>
      <c r="E164" s="85">
        <v>136</v>
      </c>
      <c r="F164" s="85">
        <v>136</v>
      </c>
      <c r="G164" s="85">
        <v>0</v>
      </c>
    </row>
    <row r="165" spans="1:7" x14ac:dyDescent="0.25">
      <c r="A165" t="s">
        <v>474</v>
      </c>
      <c r="B165" t="s">
        <v>475</v>
      </c>
      <c r="C165" t="s">
        <v>271</v>
      </c>
      <c r="D165" s="85">
        <v>64769.58</v>
      </c>
      <c r="E165" s="85">
        <v>0.01</v>
      </c>
      <c r="F165" s="85">
        <v>10724.1</v>
      </c>
      <c r="G165" s="85">
        <v>54045.49</v>
      </c>
    </row>
    <row r="166" spans="1:7" x14ac:dyDescent="0.25">
      <c r="A166" t="s">
        <v>476</v>
      </c>
      <c r="B166" t="s">
        <v>477</v>
      </c>
      <c r="C166" t="s">
        <v>271</v>
      </c>
      <c r="D166" s="85">
        <v>64769.58</v>
      </c>
      <c r="E166" s="85">
        <v>0.01</v>
      </c>
      <c r="F166" s="85">
        <v>10724.1</v>
      </c>
      <c r="G166" s="85">
        <v>54045.49</v>
      </c>
    </row>
    <row r="167" spans="1:7" x14ac:dyDescent="0.25">
      <c r="A167" t="s">
        <v>478</v>
      </c>
      <c r="B167" t="s">
        <v>477</v>
      </c>
      <c r="C167" t="s">
        <v>271</v>
      </c>
      <c r="D167" s="85">
        <v>64769.58</v>
      </c>
      <c r="E167" s="85">
        <v>0.01</v>
      </c>
      <c r="F167" s="85">
        <v>10724.1</v>
      </c>
      <c r="G167" s="85">
        <v>54045.49</v>
      </c>
    </row>
    <row r="168" spans="1:7" x14ac:dyDescent="0.25">
      <c r="A168" t="s">
        <v>479</v>
      </c>
      <c r="B168" t="s">
        <v>477</v>
      </c>
      <c r="C168" t="s">
        <v>271</v>
      </c>
      <c r="D168" s="85">
        <v>64769.58</v>
      </c>
      <c r="E168" s="85">
        <v>0.01</v>
      </c>
      <c r="F168" s="85">
        <v>10724.1</v>
      </c>
      <c r="G168" s="85">
        <v>54045.49</v>
      </c>
    </row>
    <row r="169" spans="1:7" x14ac:dyDescent="0.25">
      <c r="A169" t="s">
        <v>480</v>
      </c>
      <c r="B169" t="s">
        <v>477</v>
      </c>
      <c r="C169" t="s">
        <v>271</v>
      </c>
      <c r="D169" s="85">
        <v>28117.66</v>
      </c>
      <c r="E169" s="85">
        <v>0</v>
      </c>
      <c r="F169" s="85">
        <v>4730.99</v>
      </c>
      <c r="G169" s="85">
        <v>23386.67</v>
      </c>
    </row>
    <row r="170" spans="1:7" x14ac:dyDescent="0.25">
      <c r="A170" t="s">
        <v>481</v>
      </c>
      <c r="B170" t="s">
        <v>482</v>
      </c>
      <c r="C170" t="s">
        <v>283</v>
      </c>
      <c r="D170" s="85">
        <v>722.05</v>
      </c>
      <c r="E170" s="85">
        <v>0</v>
      </c>
      <c r="F170" s="85">
        <v>180.53</v>
      </c>
      <c r="G170" s="85">
        <v>541.52</v>
      </c>
    </row>
    <row r="171" spans="1:7" x14ac:dyDescent="0.25">
      <c r="A171" t="s">
        <v>483</v>
      </c>
      <c r="B171" t="s">
        <v>484</v>
      </c>
      <c r="C171" t="s">
        <v>283</v>
      </c>
      <c r="D171" s="85">
        <v>6614.05</v>
      </c>
      <c r="E171" s="85">
        <v>0</v>
      </c>
      <c r="F171" s="85">
        <v>697.68</v>
      </c>
      <c r="G171" s="85">
        <v>5916.37</v>
      </c>
    </row>
    <row r="172" spans="1:7" x14ac:dyDescent="0.25">
      <c r="A172" t="s">
        <v>2799</v>
      </c>
      <c r="B172" t="s">
        <v>2800</v>
      </c>
      <c r="C172" t="s">
        <v>283</v>
      </c>
      <c r="D172" s="85">
        <v>2491.89</v>
      </c>
      <c r="E172" s="85">
        <v>0</v>
      </c>
      <c r="F172" s="85">
        <v>1239.97</v>
      </c>
      <c r="G172" s="85">
        <v>1251.92</v>
      </c>
    </row>
    <row r="173" spans="1:7" x14ac:dyDescent="0.25">
      <c r="A173" t="s">
        <v>2801</v>
      </c>
      <c r="B173" t="s">
        <v>2802</v>
      </c>
      <c r="C173" t="s">
        <v>283</v>
      </c>
      <c r="D173" s="85">
        <v>18289.669999999998</v>
      </c>
      <c r="E173" s="85">
        <v>0</v>
      </c>
      <c r="F173" s="85">
        <v>2612.81</v>
      </c>
      <c r="G173" s="85">
        <v>15676.86</v>
      </c>
    </row>
    <row r="174" spans="1:7" x14ac:dyDescent="0.25">
      <c r="A174" t="s">
        <v>485</v>
      </c>
      <c r="B174" t="s">
        <v>302</v>
      </c>
      <c r="C174" t="s">
        <v>271</v>
      </c>
      <c r="D174" s="85">
        <v>36651.919999999998</v>
      </c>
      <c r="E174" s="85">
        <v>0.01</v>
      </c>
      <c r="F174" s="85">
        <v>5993.11</v>
      </c>
      <c r="G174" s="85">
        <v>30658.82</v>
      </c>
    </row>
    <row r="175" spans="1:7" x14ac:dyDescent="0.25">
      <c r="A175" t="s">
        <v>486</v>
      </c>
      <c r="B175" t="s">
        <v>487</v>
      </c>
      <c r="C175" t="s">
        <v>283</v>
      </c>
      <c r="D175" s="85">
        <v>36651.919999999998</v>
      </c>
      <c r="E175" s="85">
        <v>0.01</v>
      </c>
      <c r="F175" s="85">
        <v>5993.11</v>
      </c>
      <c r="G175" s="85">
        <v>30658.82</v>
      </c>
    </row>
    <row r="176" spans="1:7" x14ac:dyDescent="0.25">
      <c r="A176" t="s">
        <v>488</v>
      </c>
      <c r="B176" t="s">
        <v>489</v>
      </c>
      <c r="C176" t="s">
        <v>271</v>
      </c>
      <c r="D176" s="85">
        <v>5492182.21</v>
      </c>
      <c r="E176" s="85">
        <v>1387786.5</v>
      </c>
      <c r="F176" s="85">
        <v>5439965.4800000004</v>
      </c>
      <c r="G176" s="85">
        <v>1440003.23</v>
      </c>
    </row>
    <row r="177" spans="1:7" x14ac:dyDescent="0.25">
      <c r="A177" t="s">
        <v>490</v>
      </c>
      <c r="B177" t="s">
        <v>491</v>
      </c>
      <c r="C177" t="s">
        <v>271</v>
      </c>
      <c r="D177" s="85">
        <v>5492182.21</v>
      </c>
      <c r="E177" s="85">
        <v>1387786.5</v>
      </c>
      <c r="F177" s="85">
        <v>5439965.4800000004</v>
      </c>
      <c r="G177" s="85">
        <v>1440003.23</v>
      </c>
    </row>
    <row r="178" spans="1:7" s="327" customFormat="1" x14ac:dyDescent="0.25">
      <c r="A178" s="327" t="s">
        <v>492</v>
      </c>
      <c r="B178" s="327" t="s">
        <v>493</v>
      </c>
      <c r="C178" s="327" t="s">
        <v>271</v>
      </c>
      <c r="D178" s="328">
        <v>129913.46</v>
      </c>
      <c r="E178" s="328">
        <v>134665.06</v>
      </c>
      <c r="F178" s="328">
        <v>214930.17</v>
      </c>
      <c r="G178" s="328">
        <v>49648.35</v>
      </c>
    </row>
    <row r="179" spans="1:7" x14ac:dyDescent="0.25">
      <c r="A179" t="s">
        <v>494</v>
      </c>
      <c r="B179" t="s">
        <v>493</v>
      </c>
      <c r="C179" t="s">
        <v>271</v>
      </c>
      <c r="D179" s="85">
        <v>129913.46</v>
      </c>
      <c r="E179" s="85">
        <v>134665.06</v>
      </c>
      <c r="F179" s="85">
        <v>214930.17</v>
      </c>
      <c r="G179" s="85">
        <v>49648.35</v>
      </c>
    </row>
    <row r="180" spans="1:7" x14ac:dyDescent="0.25">
      <c r="A180" t="s">
        <v>495</v>
      </c>
      <c r="B180" t="s">
        <v>493</v>
      </c>
      <c r="C180" t="s">
        <v>271</v>
      </c>
      <c r="D180" s="85">
        <v>128502.93</v>
      </c>
      <c r="E180" s="85">
        <v>134512.54999999999</v>
      </c>
      <c r="F180" s="85">
        <v>214930.17</v>
      </c>
      <c r="G180" s="85">
        <v>48085.31</v>
      </c>
    </row>
    <row r="181" spans="1:7" x14ac:dyDescent="0.25">
      <c r="A181" t="s">
        <v>496</v>
      </c>
      <c r="B181" t="s">
        <v>497</v>
      </c>
      <c r="C181" t="s">
        <v>283</v>
      </c>
      <c r="D181" s="85">
        <v>0</v>
      </c>
      <c r="E181" s="85">
        <v>91100.86</v>
      </c>
      <c r="F181" s="85">
        <v>91100.86</v>
      </c>
      <c r="G181" s="85">
        <v>0</v>
      </c>
    </row>
    <row r="182" spans="1:7" x14ac:dyDescent="0.25">
      <c r="A182" t="s">
        <v>498</v>
      </c>
      <c r="B182" t="s">
        <v>499</v>
      </c>
      <c r="C182" t="s">
        <v>283</v>
      </c>
      <c r="D182" s="85">
        <v>108972.91</v>
      </c>
      <c r="E182" s="85">
        <v>10830.39</v>
      </c>
      <c r="F182" s="85">
        <v>102072.93</v>
      </c>
      <c r="G182" s="85">
        <v>17730.37</v>
      </c>
    </row>
    <row r="183" spans="1:7" x14ac:dyDescent="0.25">
      <c r="A183" t="s">
        <v>500</v>
      </c>
      <c r="B183" t="s">
        <v>501</v>
      </c>
      <c r="C183" t="s">
        <v>283</v>
      </c>
      <c r="D183" s="85">
        <v>0</v>
      </c>
      <c r="E183" s="85">
        <v>1278.3499999999999</v>
      </c>
      <c r="F183" s="85">
        <v>1278.3499999999999</v>
      </c>
      <c r="G183" s="85">
        <v>0</v>
      </c>
    </row>
    <row r="184" spans="1:7" x14ac:dyDescent="0.25">
      <c r="A184" t="s">
        <v>502</v>
      </c>
      <c r="B184" t="s">
        <v>503</v>
      </c>
      <c r="C184" t="s">
        <v>283</v>
      </c>
      <c r="D184" s="85">
        <v>0</v>
      </c>
      <c r="E184" s="85">
        <v>633.84</v>
      </c>
      <c r="F184" s="85">
        <v>633.84</v>
      </c>
      <c r="G184" s="85">
        <v>0</v>
      </c>
    </row>
    <row r="185" spans="1:7" x14ac:dyDescent="0.25">
      <c r="A185" t="s">
        <v>504</v>
      </c>
      <c r="B185" t="s">
        <v>505</v>
      </c>
      <c r="C185" t="s">
        <v>283</v>
      </c>
      <c r="D185" s="85">
        <v>0</v>
      </c>
      <c r="E185" s="85">
        <v>278.79000000000002</v>
      </c>
      <c r="F185" s="85">
        <v>278.79000000000002</v>
      </c>
      <c r="G185" s="85">
        <v>0</v>
      </c>
    </row>
    <row r="186" spans="1:7" x14ac:dyDescent="0.25">
      <c r="A186" t="s">
        <v>506</v>
      </c>
      <c r="B186" t="s">
        <v>507</v>
      </c>
      <c r="C186" t="s">
        <v>283</v>
      </c>
      <c r="D186" s="85">
        <v>16735.240000000002</v>
      </c>
      <c r="E186" s="85">
        <v>27285.23</v>
      </c>
      <c r="F186" s="85">
        <v>16735.240000000002</v>
      </c>
      <c r="G186" s="85">
        <v>27285.23</v>
      </c>
    </row>
    <row r="187" spans="1:7" x14ac:dyDescent="0.25">
      <c r="A187" t="s">
        <v>508</v>
      </c>
      <c r="B187" t="s">
        <v>509</v>
      </c>
      <c r="C187" t="s">
        <v>283</v>
      </c>
      <c r="D187" s="85">
        <v>2794.78</v>
      </c>
      <c r="E187" s="85">
        <v>3069.71</v>
      </c>
      <c r="F187" s="85">
        <v>2794.78</v>
      </c>
      <c r="G187" s="85">
        <v>3069.71</v>
      </c>
    </row>
    <row r="188" spans="1:7" x14ac:dyDescent="0.25">
      <c r="A188" t="s">
        <v>510</v>
      </c>
      <c r="B188" t="s">
        <v>511</v>
      </c>
      <c r="C188" t="s">
        <v>283</v>
      </c>
      <c r="D188" s="85">
        <v>0</v>
      </c>
      <c r="E188" s="85">
        <v>35.380000000000003</v>
      </c>
      <c r="F188" s="85">
        <v>35.380000000000003</v>
      </c>
      <c r="G188" s="85">
        <v>0</v>
      </c>
    </row>
    <row r="189" spans="1:7" x14ac:dyDescent="0.25">
      <c r="A189" t="s">
        <v>2423</v>
      </c>
      <c r="B189" t="s">
        <v>302</v>
      </c>
      <c r="C189" t="s">
        <v>271</v>
      </c>
      <c r="D189" s="85">
        <v>1410.53</v>
      </c>
      <c r="E189" s="85">
        <v>152.51</v>
      </c>
      <c r="F189" s="85">
        <v>0</v>
      </c>
      <c r="G189" s="85">
        <v>1563.04</v>
      </c>
    </row>
    <row r="190" spans="1:7" x14ac:dyDescent="0.25">
      <c r="A190" t="s">
        <v>2424</v>
      </c>
      <c r="B190" t="s">
        <v>2425</v>
      </c>
      <c r="C190" t="s">
        <v>283</v>
      </c>
      <c r="D190" s="85">
        <v>1410.53</v>
      </c>
      <c r="E190" s="85">
        <v>152.51</v>
      </c>
      <c r="F190" s="85">
        <v>0</v>
      </c>
      <c r="G190" s="85">
        <v>1563.04</v>
      </c>
    </row>
    <row r="191" spans="1:7" s="327" customFormat="1" x14ac:dyDescent="0.25">
      <c r="A191" s="327" t="s">
        <v>512</v>
      </c>
      <c r="B191" s="327" t="s">
        <v>513</v>
      </c>
      <c r="C191" s="327" t="s">
        <v>271</v>
      </c>
      <c r="D191" s="328">
        <v>196407.41</v>
      </c>
      <c r="E191" s="328">
        <v>769.49</v>
      </c>
      <c r="F191" s="328">
        <v>87354.48</v>
      </c>
      <c r="G191" s="328">
        <v>109822.42</v>
      </c>
    </row>
    <row r="192" spans="1:7" x14ac:dyDescent="0.25">
      <c r="A192" t="s">
        <v>514</v>
      </c>
      <c r="B192" t="s">
        <v>513</v>
      </c>
      <c r="C192" t="s">
        <v>271</v>
      </c>
      <c r="D192" s="85">
        <v>0</v>
      </c>
      <c r="E192" s="85">
        <v>769.49</v>
      </c>
      <c r="F192" s="85">
        <v>769.49</v>
      </c>
      <c r="G192" s="85">
        <v>0</v>
      </c>
    </row>
    <row r="193" spans="1:7" x14ac:dyDescent="0.25">
      <c r="A193" t="s">
        <v>515</v>
      </c>
      <c r="B193" t="s">
        <v>513</v>
      </c>
      <c r="C193" t="s">
        <v>271</v>
      </c>
      <c r="D193" s="85">
        <v>0</v>
      </c>
      <c r="E193" s="85">
        <v>769.49</v>
      </c>
      <c r="F193" s="85">
        <v>769.49</v>
      </c>
      <c r="G193" s="85">
        <v>0</v>
      </c>
    </row>
    <row r="194" spans="1:7" x14ac:dyDescent="0.25">
      <c r="A194" t="s">
        <v>516</v>
      </c>
      <c r="B194" t="s">
        <v>517</v>
      </c>
      <c r="C194" t="s">
        <v>283</v>
      </c>
      <c r="D194" s="85">
        <v>0</v>
      </c>
      <c r="E194" s="85">
        <v>769.49</v>
      </c>
      <c r="F194" s="85">
        <v>769.49</v>
      </c>
      <c r="G194" s="85">
        <v>0</v>
      </c>
    </row>
    <row r="195" spans="1:7" x14ac:dyDescent="0.25">
      <c r="A195" t="s">
        <v>519</v>
      </c>
      <c r="B195" t="s">
        <v>520</v>
      </c>
      <c r="C195" t="s">
        <v>271</v>
      </c>
      <c r="D195" s="85">
        <v>196407.41</v>
      </c>
      <c r="E195" s="85">
        <v>0</v>
      </c>
      <c r="F195" s="85">
        <v>86584.99</v>
      </c>
      <c r="G195" s="85">
        <v>109822.42</v>
      </c>
    </row>
    <row r="196" spans="1:7" x14ac:dyDescent="0.25">
      <c r="A196" t="s">
        <v>521</v>
      </c>
      <c r="B196" t="s">
        <v>302</v>
      </c>
      <c r="C196" t="s">
        <v>271</v>
      </c>
      <c r="D196" s="85">
        <v>196407.41</v>
      </c>
      <c r="E196" s="85">
        <v>0</v>
      </c>
      <c r="F196" s="85">
        <v>86584.99</v>
      </c>
      <c r="G196" s="85">
        <v>109822.42</v>
      </c>
    </row>
    <row r="197" spans="1:7" x14ac:dyDescent="0.25">
      <c r="A197" t="s">
        <v>522</v>
      </c>
      <c r="B197" t="s">
        <v>523</v>
      </c>
      <c r="C197" t="s">
        <v>283</v>
      </c>
      <c r="D197" s="85">
        <v>196407.41</v>
      </c>
      <c r="E197" s="85">
        <v>0</v>
      </c>
      <c r="F197" s="85">
        <v>86584.99</v>
      </c>
      <c r="G197" s="85">
        <v>109822.42</v>
      </c>
    </row>
    <row r="198" spans="1:7" s="327" customFormat="1" x14ac:dyDescent="0.25">
      <c r="A198" s="327" t="s">
        <v>2222</v>
      </c>
      <c r="B198" s="327" t="s">
        <v>2223</v>
      </c>
      <c r="C198" s="327" t="s">
        <v>271</v>
      </c>
      <c r="D198" s="328">
        <v>5130180.82</v>
      </c>
      <c r="E198" s="328">
        <v>977196.9</v>
      </c>
      <c r="F198" s="328">
        <v>4857512.9000000004</v>
      </c>
      <c r="G198" s="328">
        <v>1249864.82</v>
      </c>
    </row>
    <row r="199" spans="1:7" x14ac:dyDescent="0.25">
      <c r="A199" t="s">
        <v>2224</v>
      </c>
      <c r="B199" t="s">
        <v>2225</v>
      </c>
      <c r="C199" t="s">
        <v>283</v>
      </c>
      <c r="D199" s="85">
        <v>0</v>
      </c>
      <c r="E199" s="85">
        <v>977196.9</v>
      </c>
      <c r="F199" s="85">
        <v>977196.9</v>
      </c>
      <c r="G199" s="85">
        <v>0</v>
      </c>
    </row>
    <row r="200" spans="1:7" x14ac:dyDescent="0.25">
      <c r="A200" t="s">
        <v>2226</v>
      </c>
      <c r="B200" t="s">
        <v>2227</v>
      </c>
      <c r="C200" t="s">
        <v>283</v>
      </c>
      <c r="D200" s="85">
        <v>5130180.82</v>
      </c>
      <c r="E200" s="85">
        <v>0</v>
      </c>
      <c r="F200" s="85">
        <v>3880316</v>
      </c>
      <c r="G200" s="85">
        <v>1249864.82</v>
      </c>
    </row>
    <row r="201" spans="1:7" s="327" customFormat="1" x14ac:dyDescent="0.25">
      <c r="A201" s="327" t="s">
        <v>524</v>
      </c>
      <c r="B201" s="327" t="s">
        <v>331</v>
      </c>
      <c r="C201" s="327" t="s">
        <v>271</v>
      </c>
      <c r="D201" s="328">
        <v>35680.519999999997</v>
      </c>
      <c r="E201" s="328">
        <v>275155.05</v>
      </c>
      <c r="F201" s="328">
        <v>280167.93</v>
      </c>
      <c r="G201" s="328">
        <v>30667.64</v>
      </c>
    </row>
    <row r="202" spans="1:7" x14ac:dyDescent="0.25">
      <c r="A202" t="s">
        <v>525</v>
      </c>
      <c r="B202" t="s">
        <v>526</v>
      </c>
      <c r="C202" t="s">
        <v>271</v>
      </c>
      <c r="D202" s="85">
        <v>35680.519999999997</v>
      </c>
      <c r="E202" s="85">
        <v>275155.05</v>
      </c>
      <c r="F202" s="85">
        <v>280167.93</v>
      </c>
      <c r="G202" s="85">
        <v>30667.64</v>
      </c>
    </row>
    <row r="203" spans="1:7" x14ac:dyDescent="0.25">
      <c r="A203" t="s">
        <v>527</v>
      </c>
      <c r="B203" t="s">
        <v>526</v>
      </c>
      <c r="C203" t="s">
        <v>271</v>
      </c>
      <c r="D203" s="85">
        <v>0</v>
      </c>
      <c r="E203" s="85">
        <v>220786.66</v>
      </c>
      <c r="F203" s="85">
        <v>220786.66</v>
      </c>
      <c r="G203" s="85">
        <v>0</v>
      </c>
    </row>
    <row r="204" spans="1:7" x14ac:dyDescent="0.25">
      <c r="A204" t="s">
        <v>2271</v>
      </c>
      <c r="B204" t="s">
        <v>2272</v>
      </c>
      <c r="C204" t="s">
        <v>283</v>
      </c>
      <c r="D204" s="85">
        <v>0</v>
      </c>
      <c r="E204" s="85">
        <v>220786.66</v>
      </c>
      <c r="F204" s="85">
        <v>220786.66</v>
      </c>
      <c r="G204" s="85">
        <v>0</v>
      </c>
    </row>
    <row r="205" spans="1:7" x14ac:dyDescent="0.25">
      <c r="A205" t="s">
        <v>528</v>
      </c>
      <c r="B205" t="s">
        <v>529</v>
      </c>
      <c r="C205" t="s">
        <v>271</v>
      </c>
      <c r="D205" s="85">
        <v>35680.519999999997</v>
      </c>
      <c r="E205" s="85">
        <v>54368.39</v>
      </c>
      <c r="F205" s="85">
        <v>59381.27</v>
      </c>
      <c r="G205" s="85">
        <v>30667.64</v>
      </c>
    </row>
    <row r="206" spans="1:7" x14ac:dyDescent="0.25">
      <c r="A206" t="s">
        <v>530</v>
      </c>
      <c r="B206" t="s">
        <v>497</v>
      </c>
      <c r="C206" t="s">
        <v>283</v>
      </c>
      <c r="D206" s="85">
        <v>0</v>
      </c>
      <c r="E206" s="85">
        <v>29188.82</v>
      </c>
      <c r="F206" s="85">
        <v>29188.82</v>
      </c>
      <c r="G206" s="85">
        <v>0</v>
      </c>
    </row>
    <row r="207" spans="1:7" x14ac:dyDescent="0.25">
      <c r="A207" t="s">
        <v>531</v>
      </c>
      <c r="B207" t="s">
        <v>501</v>
      </c>
      <c r="C207" t="s">
        <v>283</v>
      </c>
      <c r="D207" s="85">
        <v>0</v>
      </c>
      <c r="E207" s="85">
        <v>729.73</v>
      </c>
      <c r="F207" s="85">
        <v>729.73</v>
      </c>
      <c r="G207" s="85">
        <v>0</v>
      </c>
    </row>
    <row r="208" spans="1:7" x14ac:dyDescent="0.25">
      <c r="A208" t="s">
        <v>532</v>
      </c>
      <c r="B208" t="s">
        <v>503</v>
      </c>
      <c r="C208" t="s">
        <v>283</v>
      </c>
      <c r="D208" s="85">
        <v>0</v>
      </c>
      <c r="E208" s="85">
        <v>66.72</v>
      </c>
      <c r="F208" s="85">
        <v>66.72</v>
      </c>
      <c r="G208" s="85">
        <v>0</v>
      </c>
    </row>
    <row r="209" spans="1:7" x14ac:dyDescent="0.25">
      <c r="A209" t="s">
        <v>533</v>
      </c>
      <c r="B209" t="s">
        <v>499</v>
      </c>
      <c r="C209" t="s">
        <v>283</v>
      </c>
      <c r="D209" s="85">
        <v>35680.519999999997</v>
      </c>
      <c r="E209" s="85">
        <v>0</v>
      </c>
      <c r="F209" s="85">
        <v>29396</v>
      </c>
      <c r="G209" s="85">
        <v>6284.52</v>
      </c>
    </row>
    <row r="210" spans="1:7" x14ac:dyDescent="0.25">
      <c r="A210" t="s">
        <v>2803</v>
      </c>
      <c r="B210" t="s">
        <v>2804</v>
      </c>
      <c r="C210" t="s">
        <v>283</v>
      </c>
      <c r="D210" s="85">
        <v>0</v>
      </c>
      <c r="E210" s="85">
        <v>21411.98</v>
      </c>
      <c r="F210" s="85">
        <v>0</v>
      </c>
      <c r="G210" s="85">
        <v>21411.98</v>
      </c>
    </row>
    <row r="211" spans="1:7" x14ac:dyDescent="0.25">
      <c r="A211" t="s">
        <v>2805</v>
      </c>
      <c r="B211" t="s">
        <v>2806</v>
      </c>
      <c r="C211" t="s">
        <v>283</v>
      </c>
      <c r="D211" s="85">
        <v>0</v>
      </c>
      <c r="E211" s="85">
        <v>2971.14</v>
      </c>
      <c r="F211" s="85">
        <v>0</v>
      </c>
      <c r="G211" s="85">
        <v>2971.14</v>
      </c>
    </row>
    <row r="212" spans="1:7" x14ac:dyDescent="0.25">
      <c r="A212" t="s">
        <v>534</v>
      </c>
      <c r="B212" t="s">
        <v>535</v>
      </c>
      <c r="C212" t="s">
        <v>271</v>
      </c>
      <c r="D212" s="85">
        <v>260176419.91</v>
      </c>
      <c r="E212" s="85">
        <v>4560993.04</v>
      </c>
      <c r="F212" s="85">
        <v>4155093.59</v>
      </c>
      <c r="G212" s="85">
        <v>260582319.36000001</v>
      </c>
    </row>
    <row r="213" spans="1:7" x14ac:dyDescent="0.25">
      <c r="A213" t="s">
        <v>2426</v>
      </c>
      <c r="B213" t="s">
        <v>411</v>
      </c>
      <c r="C213" t="s">
        <v>271</v>
      </c>
      <c r="D213" s="85">
        <v>28652</v>
      </c>
      <c r="E213" s="85">
        <v>0</v>
      </c>
      <c r="F213" s="85">
        <v>28652</v>
      </c>
      <c r="G213" s="85">
        <v>0</v>
      </c>
    </row>
    <row r="214" spans="1:7" x14ac:dyDescent="0.25">
      <c r="A214" t="s">
        <v>2427</v>
      </c>
      <c r="B214" t="s">
        <v>413</v>
      </c>
      <c r="C214" t="s">
        <v>271</v>
      </c>
      <c r="D214" s="85">
        <v>28652</v>
      </c>
      <c r="E214" s="85">
        <v>0</v>
      </c>
      <c r="F214" s="85">
        <v>28652</v>
      </c>
      <c r="G214" s="85">
        <v>0</v>
      </c>
    </row>
    <row r="215" spans="1:7" x14ac:dyDescent="0.25">
      <c r="A215" t="s">
        <v>2428</v>
      </c>
      <c r="B215" t="s">
        <v>331</v>
      </c>
      <c r="C215" t="s">
        <v>271</v>
      </c>
      <c r="D215" s="85">
        <v>28652</v>
      </c>
      <c r="E215" s="85">
        <v>0</v>
      </c>
      <c r="F215" s="85">
        <v>28652</v>
      </c>
      <c r="G215" s="85">
        <v>0</v>
      </c>
    </row>
    <row r="216" spans="1:7" x14ac:dyDescent="0.25">
      <c r="A216" t="s">
        <v>2429</v>
      </c>
      <c r="B216" t="s">
        <v>2430</v>
      </c>
      <c r="C216" t="s">
        <v>271</v>
      </c>
      <c r="D216" s="85">
        <v>28652</v>
      </c>
      <c r="E216" s="85">
        <v>0</v>
      </c>
      <c r="F216" s="85">
        <v>28652</v>
      </c>
      <c r="G216" s="85">
        <v>0</v>
      </c>
    </row>
    <row r="217" spans="1:7" x14ac:dyDescent="0.25">
      <c r="A217" t="s">
        <v>2807</v>
      </c>
      <c r="B217" t="s">
        <v>2808</v>
      </c>
      <c r="C217" t="s">
        <v>283</v>
      </c>
      <c r="D217" s="85">
        <v>28652</v>
      </c>
      <c r="E217" s="85">
        <v>0</v>
      </c>
      <c r="F217" s="85">
        <v>28652</v>
      </c>
      <c r="G217" s="85">
        <v>0</v>
      </c>
    </row>
    <row r="218" spans="1:7" x14ac:dyDescent="0.25">
      <c r="A218" t="s">
        <v>536</v>
      </c>
      <c r="B218" t="s">
        <v>537</v>
      </c>
      <c r="C218" t="s">
        <v>271</v>
      </c>
      <c r="D218" s="85">
        <v>14055024.210000001</v>
      </c>
      <c r="E218" s="85">
        <v>16338.12</v>
      </c>
      <c r="F218" s="85">
        <v>869625.08</v>
      </c>
      <c r="G218" s="85">
        <v>13201737.25</v>
      </c>
    </row>
    <row r="219" spans="1:7" x14ac:dyDescent="0.25">
      <c r="A219" t="s">
        <v>538</v>
      </c>
      <c r="B219" t="s">
        <v>415</v>
      </c>
      <c r="C219" t="s">
        <v>271</v>
      </c>
      <c r="D219" s="85">
        <v>10334576.6</v>
      </c>
      <c r="E219" s="85">
        <v>12013.35</v>
      </c>
      <c r="F219" s="85">
        <v>639430.21</v>
      </c>
      <c r="G219" s="85">
        <v>9707159.7400000002</v>
      </c>
    </row>
    <row r="220" spans="1:7" x14ac:dyDescent="0.25">
      <c r="A220" t="s">
        <v>539</v>
      </c>
      <c r="B220" t="s">
        <v>540</v>
      </c>
      <c r="C220" t="s">
        <v>271</v>
      </c>
      <c r="D220" s="85">
        <v>10334576.6</v>
      </c>
      <c r="E220" s="85">
        <v>12013.35</v>
      </c>
      <c r="F220" s="85">
        <v>639430.21</v>
      </c>
      <c r="G220" s="85">
        <v>9707159.7400000002</v>
      </c>
    </row>
    <row r="221" spans="1:7" x14ac:dyDescent="0.25">
      <c r="A221" t="s">
        <v>541</v>
      </c>
      <c r="B221" t="s">
        <v>540</v>
      </c>
      <c r="C221" t="s">
        <v>283</v>
      </c>
      <c r="D221" s="85">
        <v>10334576.6</v>
      </c>
      <c r="E221" s="85">
        <v>12013.35</v>
      </c>
      <c r="F221" s="85">
        <v>639430.21</v>
      </c>
      <c r="G221" s="85">
        <v>9707159.7400000002</v>
      </c>
    </row>
    <row r="222" spans="1:7" x14ac:dyDescent="0.25">
      <c r="A222" t="s">
        <v>542</v>
      </c>
      <c r="B222" t="s">
        <v>421</v>
      </c>
      <c r="C222" t="s">
        <v>271</v>
      </c>
      <c r="D222" s="85">
        <v>3720447.61</v>
      </c>
      <c r="E222" s="85">
        <v>4324.7700000000004</v>
      </c>
      <c r="F222" s="85">
        <v>230194.87</v>
      </c>
      <c r="G222" s="85">
        <v>3494577.51</v>
      </c>
    </row>
    <row r="223" spans="1:7" x14ac:dyDescent="0.25">
      <c r="A223" t="s">
        <v>543</v>
      </c>
      <c r="B223" t="s">
        <v>540</v>
      </c>
      <c r="C223" t="s">
        <v>271</v>
      </c>
      <c r="D223" s="85">
        <v>3720447.61</v>
      </c>
      <c r="E223" s="85">
        <v>4324.7700000000004</v>
      </c>
      <c r="F223" s="85">
        <v>230194.87</v>
      </c>
      <c r="G223" s="85">
        <v>3494577.51</v>
      </c>
    </row>
    <row r="224" spans="1:7" x14ac:dyDescent="0.25">
      <c r="A224" t="s">
        <v>544</v>
      </c>
      <c r="B224" t="s">
        <v>540</v>
      </c>
      <c r="C224" t="s">
        <v>283</v>
      </c>
      <c r="D224" s="85">
        <v>3720447.61</v>
      </c>
      <c r="E224" s="85">
        <v>4324.7700000000004</v>
      </c>
      <c r="F224" s="85">
        <v>230194.87</v>
      </c>
      <c r="G224" s="85">
        <v>3494577.51</v>
      </c>
    </row>
    <row r="225" spans="1:7" x14ac:dyDescent="0.25">
      <c r="A225" t="s">
        <v>2809</v>
      </c>
      <c r="B225" t="s">
        <v>2810</v>
      </c>
      <c r="C225" t="s">
        <v>271</v>
      </c>
      <c r="D225" s="85">
        <v>209040.61</v>
      </c>
      <c r="E225" s="85">
        <v>0</v>
      </c>
      <c r="F225" s="85">
        <v>0</v>
      </c>
      <c r="G225" s="85">
        <v>209040.61</v>
      </c>
    </row>
    <row r="226" spans="1:7" x14ac:dyDescent="0.25">
      <c r="A226" t="s">
        <v>2811</v>
      </c>
      <c r="B226" t="s">
        <v>581</v>
      </c>
      <c r="C226" t="s">
        <v>271</v>
      </c>
      <c r="D226" s="85">
        <v>209040.61</v>
      </c>
      <c r="E226" s="85">
        <v>0</v>
      </c>
      <c r="F226" s="85">
        <v>0</v>
      </c>
      <c r="G226" s="85">
        <v>209040.61</v>
      </c>
    </row>
    <row r="227" spans="1:7" x14ac:dyDescent="0.25">
      <c r="A227" t="s">
        <v>2812</v>
      </c>
      <c r="B227" t="s">
        <v>565</v>
      </c>
      <c r="C227" t="s">
        <v>271</v>
      </c>
      <c r="D227" s="85">
        <v>209040.61</v>
      </c>
      <c r="E227" s="85">
        <v>0</v>
      </c>
      <c r="F227" s="85">
        <v>0</v>
      </c>
      <c r="G227" s="85">
        <v>209040.61</v>
      </c>
    </row>
    <row r="228" spans="1:7" x14ac:dyDescent="0.25">
      <c r="A228" t="s">
        <v>2813</v>
      </c>
      <c r="B228" t="s">
        <v>721</v>
      </c>
      <c r="C228" t="s">
        <v>271</v>
      </c>
      <c r="D228" s="85">
        <v>209040.61</v>
      </c>
      <c r="E228" s="85">
        <v>0</v>
      </c>
      <c r="F228" s="85">
        <v>0</v>
      </c>
      <c r="G228" s="85">
        <v>209040.61</v>
      </c>
    </row>
    <row r="229" spans="1:7" x14ac:dyDescent="0.25">
      <c r="A229" t="s">
        <v>2814</v>
      </c>
      <c r="B229" t="s">
        <v>593</v>
      </c>
      <c r="C229" t="s">
        <v>283</v>
      </c>
      <c r="D229" s="85">
        <v>209040.61</v>
      </c>
      <c r="E229" s="85">
        <v>0</v>
      </c>
      <c r="F229" s="85">
        <v>0</v>
      </c>
      <c r="G229" s="85">
        <v>209040.61</v>
      </c>
    </row>
    <row r="230" spans="1:7" x14ac:dyDescent="0.25">
      <c r="A230" t="s">
        <v>545</v>
      </c>
      <c r="B230" t="s">
        <v>546</v>
      </c>
      <c r="C230" t="s">
        <v>271</v>
      </c>
      <c r="D230" s="85">
        <v>90737241.769999996</v>
      </c>
      <c r="E230" s="85">
        <v>4264655.8600000003</v>
      </c>
      <c r="F230" s="85">
        <v>2558023.31</v>
      </c>
      <c r="G230" s="85">
        <v>92443874.319999993</v>
      </c>
    </row>
    <row r="231" spans="1:7" x14ac:dyDescent="0.25">
      <c r="A231" t="s">
        <v>547</v>
      </c>
      <c r="B231" t="s">
        <v>548</v>
      </c>
      <c r="C231" t="s">
        <v>271</v>
      </c>
      <c r="D231" s="85">
        <v>89553948</v>
      </c>
      <c r="E231" s="85">
        <v>2783175.26</v>
      </c>
      <c r="F231" s="85">
        <v>1072973.55</v>
      </c>
      <c r="G231" s="85">
        <v>91264149.709999993</v>
      </c>
    </row>
    <row r="232" spans="1:7" s="327" customFormat="1" x14ac:dyDescent="0.25">
      <c r="A232" s="327" t="s">
        <v>549</v>
      </c>
      <c r="B232" s="327" t="s">
        <v>550</v>
      </c>
      <c r="C232" s="327" t="s">
        <v>271</v>
      </c>
      <c r="D232" s="328">
        <v>87439212.200000003</v>
      </c>
      <c r="E232" s="328">
        <v>2768489.59</v>
      </c>
      <c r="F232" s="328">
        <v>1058287.8799999999</v>
      </c>
      <c r="G232" s="328">
        <v>89149413.909999996</v>
      </c>
    </row>
    <row r="233" spans="1:7" x14ac:dyDescent="0.25">
      <c r="A233" t="s">
        <v>551</v>
      </c>
      <c r="B233" t="s">
        <v>552</v>
      </c>
      <c r="C233" t="s">
        <v>271</v>
      </c>
      <c r="D233" s="85">
        <v>87439212.200000003</v>
      </c>
      <c r="E233" s="85">
        <v>2768489.59</v>
      </c>
      <c r="F233" s="85">
        <v>1058287.8799999999</v>
      </c>
      <c r="G233" s="85">
        <v>89149413.909999996</v>
      </c>
    </row>
    <row r="234" spans="1:7" x14ac:dyDescent="0.25">
      <c r="A234" t="s">
        <v>553</v>
      </c>
      <c r="B234" t="s">
        <v>552</v>
      </c>
      <c r="C234" t="s">
        <v>271</v>
      </c>
      <c r="D234" s="85">
        <v>87439212.200000003</v>
      </c>
      <c r="E234" s="85">
        <v>2768489.59</v>
      </c>
      <c r="F234" s="85">
        <v>1058287.8799999999</v>
      </c>
      <c r="G234" s="85">
        <v>89149413.909999996</v>
      </c>
    </row>
    <row r="235" spans="1:7" x14ac:dyDescent="0.25">
      <c r="A235" t="s">
        <v>554</v>
      </c>
      <c r="B235" t="s">
        <v>555</v>
      </c>
      <c r="C235" t="s">
        <v>283</v>
      </c>
      <c r="D235" s="85">
        <v>48078809.299999997</v>
      </c>
      <c r="E235" s="85">
        <v>1604232.61</v>
      </c>
      <c r="F235" s="85">
        <v>0</v>
      </c>
      <c r="G235" s="85">
        <v>49683041.909999996</v>
      </c>
    </row>
    <row r="236" spans="1:7" x14ac:dyDescent="0.25">
      <c r="A236" t="s">
        <v>556</v>
      </c>
      <c r="B236" t="s">
        <v>557</v>
      </c>
      <c r="C236" t="s">
        <v>283</v>
      </c>
      <c r="D236" s="85">
        <v>17133783.890000001</v>
      </c>
      <c r="E236" s="85">
        <v>27.31</v>
      </c>
      <c r="F236" s="85">
        <v>1058287.8799999999</v>
      </c>
      <c r="G236" s="85">
        <v>16075523.32</v>
      </c>
    </row>
    <row r="237" spans="1:7" x14ac:dyDescent="0.25">
      <c r="A237" t="s">
        <v>558</v>
      </c>
      <c r="B237" t="s">
        <v>559</v>
      </c>
      <c r="C237" t="s">
        <v>283</v>
      </c>
      <c r="D237" s="85">
        <v>22226619.010000002</v>
      </c>
      <c r="E237" s="85">
        <v>1164229.67</v>
      </c>
      <c r="F237" s="85">
        <v>0</v>
      </c>
      <c r="G237" s="85">
        <v>23390848.68</v>
      </c>
    </row>
    <row r="238" spans="1:7" s="327" customFormat="1" x14ac:dyDescent="0.25">
      <c r="A238" s="327" t="s">
        <v>2815</v>
      </c>
      <c r="B238" s="327" t="s">
        <v>2816</v>
      </c>
      <c r="C238" s="327" t="s">
        <v>271</v>
      </c>
      <c r="D238" s="328">
        <v>2114735.7999999998</v>
      </c>
      <c r="E238" s="328">
        <v>14685.67</v>
      </c>
      <c r="F238" s="328">
        <v>14685.67</v>
      </c>
      <c r="G238" s="328">
        <v>2114735.7999999998</v>
      </c>
    </row>
    <row r="239" spans="1:7" x14ac:dyDescent="0.25">
      <c r="A239" t="s">
        <v>2817</v>
      </c>
      <c r="B239" t="s">
        <v>2818</v>
      </c>
      <c r="C239" t="s">
        <v>271</v>
      </c>
      <c r="D239" s="85">
        <v>2114735.7999999998</v>
      </c>
      <c r="E239" s="85">
        <v>14685.67</v>
      </c>
      <c r="F239" s="85">
        <v>14685.67</v>
      </c>
      <c r="G239" s="85">
        <v>2114735.7999999998</v>
      </c>
    </row>
    <row r="240" spans="1:7" x14ac:dyDescent="0.25">
      <c r="A240" t="s">
        <v>2819</v>
      </c>
      <c r="B240" t="s">
        <v>2818</v>
      </c>
      <c r="C240" t="s">
        <v>271</v>
      </c>
      <c r="D240" s="85">
        <v>2114735.7999999998</v>
      </c>
      <c r="E240" s="85">
        <v>14685.67</v>
      </c>
      <c r="F240" s="85">
        <v>14685.67</v>
      </c>
      <c r="G240" s="85">
        <v>2114735.7999999998</v>
      </c>
    </row>
    <row r="241" spans="1:7" x14ac:dyDescent="0.25">
      <c r="A241" t="s">
        <v>2820</v>
      </c>
      <c r="B241" t="s">
        <v>2821</v>
      </c>
      <c r="C241" t="s">
        <v>283</v>
      </c>
      <c r="D241" s="85">
        <v>2114735.7999999998</v>
      </c>
      <c r="E241" s="85">
        <v>14685.67</v>
      </c>
      <c r="F241" s="85">
        <v>14685.67</v>
      </c>
      <c r="G241" s="85">
        <v>2114735.7999999998</v>
      </c>
    </row>
    <row r="242" spans="1:7" x14ac:dyDescent="0.25">
      <c r="A242" t="s">
        <v>560</v>
      </c>
      <c r="B242" t="s">
        <v>561</v>
      </c>
      <c r="C242" t="s">
        <v>271</v>
      </c>
      <c r="D242" s="85">
        <v>965093.77</v>
      </c>
      <c r="E242" s="85">
        <v>0</v>
      </c>
      <c r="F242" s="85">
        <v>3569.16</v>
      </c>
      <c r="G242" s="85">
        <v>961524.61</v>
      </c>
    </row>
    <row r="243" spans="1:7" x14ac:dyDescent="0.25">
      <c r="A243" t="s">
        <v>562</v>
      </c>
      <c r="B243" t="s">
        <v>563</v>
      </c>
      <c r="C243" t="s">
        <v>271</v>
      </c>
      <c r="D243" s="85">
        <v>1642451.64</v>
      </c>
      <c r="E243" s="85">
        <v>0</v>
      </c>
      <c r="F243" s="85">
        <v>0</v>
      </c>
      <c r="G243" s="85">
        <v>1642451.64</v>
      </c>
    </row>
    <row r="244" spans="1:7" x14ac:dyDescent="0.25">
      <c r="A244" t="s">
        <v>564</v>
      </c>
      <c r="B244" t="s">
        <v>565</v>
      </c>
      <c r="C244" t="s">
        <v>271</v>
      </c>
      <c r="D244" s="85">
        <v>356267.93</v>
      </c>
      <c r="E244" s="85">
        <v>0</v>
      </c>
      <c r="F244" s="85">
        <v>0</v>
      </c>
      <c r="G244" s="85">
        <v>356267.93</v>
      </c>
    </row>
    <row r="245" spans="1:7" x14ac:dyDescent="0.25">
      <c r="A245" t="s">
        <v>566</v>
      </c>
      <c r="B245" t="s">
        <v>565</v>
      </c>
      <c r="C245" t="s">
        <v>283</v>
      </c>
      <c r="D245" s="85">
        <v>356267.93</v>
      </c>
      <c r="E245" s="85">
        <v>0</v>
      </c>
      <c r="F245" s="85">
        <v>0</v>
      </c>
      <c r="G245" s="85">
        <v>356267.93</v>
      </c>
    </row>
    <row r="246" spans="1:7" x14ac:dyDescent="0.25">
      <c r="A246" t="s">
        <v>567</v>
      </c>
      <c r="B246" t="s">
        <v>568</v>
      </c>
      <c r="C246" t="s">
        <v>271</v>
      </c>
      <c r="D246" s="85">
        <v>1286183.71</v>
      </c>
      <c r="E246" s="85">
        <v>0</v>
      </c>
      <c r="F246" s="85">
        <v>0</v>
      </c>
      <c r="G246" s="85">
        <v>1286183.71</v>
      </c>
    </row>
    <row r="247" spans="1:7" x14ac:dyDescent="0.25">
      <c r="A247" t="s">
        <v>569</v>
      </c>
      <c r="B247" t="s">
        <v>568</v>
      </c>
      <c r="C247" t="s">
        <v>283</v>
      </c>
      <c r="D247" s="85">
        <v>1286183.71</v>
      </c>
      <c r="E247" s="85">
        <v>0</v>
      </c>
      <c r="F247" s="85">
        <v>0</v>
      </c>
      <c r="G247" s="85">
        <v>1286183.71</v>
      </c>
    </row>
    <row r="248" spans="1:7" x14ac:dyDescent="0.25">
      <c r="A248" t="s">
        <v>570</v>
      </c>
      <c r="B248" t="s">
        <v>571</v>
      </c>
      <c r="C248" t="s">
        <v>271</v>
      </c>
      <c r="D248" s="85">
        <v>-677357.87</v>
      </c>
      <c r="E248" s="85">
        <v>0</v>
      </c>
      <c r="F248" s="85">
        <v>3569.16</v>
      </c>
      <c r="G248" s="85">
        <v>-680927.03</v>
      </c>
    </row>
    <row r="249" spans="1:7" x14ac:dyDescent="0.25">
      <c r="A249" t="s">
        <v>572</v>
      </c>
      <c r="B249" t="s">
        <v>568</v>
      </c>
      <c r="C249" t="s">
        <v>271</v>
      </c>
      <c r="D249" s="85">
        <v>-677357.87</v>
      </c>
      <c r="E249" s="85">
        <v>0</v>
      </c>
      <c r="F249" s="85">
        <v>3569.16</v>
      </c>
      <c r="G249" s="85">
        <v>-680927.03</v>
      </c>
    </row>
    <row r="250" spans="1:7" x14ac:dyDescent="0.25">
      <c r="A250" t="s">
        <v>573</v>
      </c>
      <c r="B250" t="s">
        <v>568</v>
      </c>
      <c r="C250" t="s">
        <v>283</v>
      </c>
      <c r="D250" s="85">
        <v>-677357.87</v>
      </c>
      <c r="E250" s="85">
        <v>0</v>
      </c>
      <c r="F250" s="85">
        <v>3569.16</v>
      </c>
      <c r="G250" s="85">
        <v>-680927.03</v>
      </c>
    </row>
    <row r="251" spans="1:7" s="327" customFormat="1" x14ac:dyDescent="0.25">
      <c r="A251" s="327" t="s">
        <v>574</v>
      </c>
      <c r="B251" s="327" t="s">
        <v>331</v>
      </c>
      <c r="C251" s="327" t="s">
        <v>271</v>
      </c>
      <c r="D251" s="328">
        <v>218200</v>
      </c>
      <c r="E251" s="328">
        <v>1481480.6</v>
      </c>
      <c r="F251" s="328">
        <v>1481480.6</v>
      </c>
      <c r="G251" s="328">
        <v>218200</v>
      </c>
    </row>
    <row r="252" spans="1:7" x14ac:dyDescent="0.25">
      <c r="A252" t="s">
        <v>575</v>
      </c>
      <c r="B252" t="s">
        <v>576</v>
      </c>
      <c r="C252" t="s">
        <v>271</v>
      </c>
      <c r="D252" s="85">
        <v>218200</v>
      </c>
      <c r="E252" s="85">
        <v>1481480.6</v>
      </c>
      <c r="F252" s="85">
        <v>1481480.6</v>
      </c>
      <c r="G252" s="85">
        <v>218200</v>
      </c>
    </row>
    <row r="253" spans="1:7" x14ac:dyDescent="0.25">
      <c r="A253" t="s">
        <v>577</v>
      </c>
      <c r="B253" t="s">
        <v>578</v>
      </c>
      <c r="C253" t="s">
        <v>283</v>
      </c>
      <c r="D253" s="85">
        <v>0</v>
      </c>
      <c r="E253" s="85">
        <v>1481480.6</v>
      </c>
      <c r="F253" s="85">
        <v>1481480.6</v>
      </c>
      <c r="G253" s="85">
        <v>0</v>
      </c>
    </row>
    <row r="254" spans="1:7" x14ac:dyDescent="0.25">
      <c r="A254" t="s">
        <v>2822</v>
      </c>
      <c r="B254" t="s">
        <v>2823</v>
      </c>
      <c r="C254" t="s">
        <v>283</v>
      </c>
      <c r="D254" s="85">
        <v>218200</v>
      </c>
      <c r="E254" s="85">
        <v>0</v>
      </c>
      <c r="F254" s="85">
        <v>0</v>
      </c>
      <c r="G254" s="85">
        <v>218200</v>
      </c>
    </row>
    <row r="255" spans="1:7" x14ac:dyDescent="0.25">
      <c r="A255" t="s">
        <v>579</v>
      </c>
      <c r="B255" t="s">
        <v>563</v>
      </c>
      <c r="C255" t="s">
        <v>271</v>
      </c>
      <c r="D255" s="85">
        <v>99881993.200000003</v>
      </c>
      <c r="E255" s="85">
        <v>279999.03000000003</v>
      </c>
      <c r="F255" s="85">
        <v>403933.07</v>
      </c>
      <c r="G255" s="85">
        <v>99758059.159999996</v>
      </c>
    </row>
    <row r="256" spans="1:7" x14ac:dyDescent="0.25">
      <c r="A256" t="s">
        <v>580</v>
      </c>
      <c r="B256" t="s">
        <v>581</v>
      </c>
      <c r="C256" t="s">
        <v>271</v>
      </c>
      <c r="D256" s="85">
        <v>99165171.620000005</v>
      </c>
      <c r="E256" s="85">
        <v>279999.03000000003</v>
      </c>
      <c r="F256" s="85">
        <v>396133.14</v>
      </c>
      <c r="G256" s="85">
        <v>99049037.510000005</v>
      </c>
    </row>
    <row r="257" spans="1:7" x14ac:dyDescent="0.25">
      <c r="A257" t="s">
        <v>582</v>
      </c>
      <c r="B257" t="s">
        <v>583</v>
      </c>
      <c r="C257" t="s">
        <v>271</v>
      </c>
      <c r="D257" s="85">
        <v>174527281.19</v>
      </c>
      <c r="E257" s="85">
        <v>0</v>
      </c>
      <c r="F257" s="85">
        <v>0</v>
      </c>
      <c r="G257" s="85">
        <v>174527281.19</v>
      </c>
    </row>
    <row r="258" spans="1:7" x14ac:dyDescent="0.25">
      <c r="A258" t="s">
        <v>584</v>
      </c>
      <c r="B258" t="s">
        <v>565</v>
      </c>
      <c r="C258" t="s">
        <v>271</v>
      </c>
      <c r="D258" s="85">
        <v>1759403.2</v>
      </c>
      <c r="E258" s="85">
        <v>0</v>
      </c>
      <c r="F258" s="85">
        <v>0</v>
      </c>
      <c r="G258" s="85">
        <v>1759403.2</v>
      </c>
    </row>
    <row r="259" spans="1:7" x14ac:dyDescent="0.25">
      <c r="A259" t="s">
        <v>585</v>
      </c>
      <c r="B259" t="s">
        <v>586</v>
      </c>
      <c r="C259" t="s">
        <v>271</v>
      </c>
      <c r="D259" s="85">
        <v>776717.44</v>
      </c>
      <c r="E259" s="85">
        <v>0</v>
      </c>
      <c r="F259" s="85">
        <v>0</v>
      </c>
      <c r="G259" s="85">
        <v>776717.44</v>
      </c>
    </row>
    <row r="260" spans="1:7" x14ac:dyDescent="0.25">
      <c r="A260" t="s">
        <v>587</v>
      </c>
      <c r="B260" t="s">
        <v>565</v>
      </c>
      <c r="C260" t="s">
        <v>283</v>
      </c>
      <c r="D260" s="85">
        <v>776717.44</v>
      </c>
      <c r="E260" s="85">
        <v>0</v>
      </c>
      <c r="F260" s="85">
        <v>0</v>
      </c>
      <c r="G260" s="85">
        <v>776717.44</v>
      </c>
    </row>
    <row r="261" spans="1:7" x14ac:dyDescent="0.25">
      <c r="A261" t="s">
        <v>588</v>
      </c>
      <c r="B261" t="s">
        <v>302</v>
      </c>
      <c r="C261" t="s">
        <v>271</v>
      </c>
      <c r="D261" s="85">
        <v>795966.21</v>
      </c>
      <c r="E261" s="85">
        <v>0</v>
      </c>
      <c r="F261" s="85">
        <v>0</v>
      </c>
      <c r="G261" s="85">
        <v>795966.21</v>
      </c>
    </row>
    <row r="262" spans="1:7" x14ac:dyDescent="0.25">
      <c r="A262" t="s">
        <v>589</v>
      </c>
      <c r="B262" t="s">
        <v>565</v>
      </c>
      <c r="C262" t="s">
        <v>283</v>
      </c>
      <c r="D262" s="85">
        <v>795966.21</v>
      </c>
      <c r="E262" s="85">
        <v>0</v>
      </c>
      <c r="F262" s="85">
        <v>0</v>
      </c>
      <c r="G262" s="85">
        <v>795966.21</v>
      </c>
    </row>
    <row r="263" spans="1:7" x14ac:dyDescent="0.25">
      <c r="A263" t="s">
        <v>590</v>
      </c>
      <c r="B263" t="s">
        <v>591</v>
      </c>
      <c r="C263" t="s">
        <v>271</v>
      </c>
      <c r="D263" s="85">
        <v>186719.55</v>
      </c>
      <c r="E263" s="85">
        <v>0</v>
      </c>
      <c r="F263" s="85">
        <v>0</v>
      </c>
      <c r="G263" s="85">
        <v>186719.55</v>
      </c>
    </row>
    <row r="264" spans="1:7" x14ac:dyDescent="0.25">
      <c r="A264" t="s">
        <v>592</v>
      </c>
      <c r="B264" t="s">
        <v>593</v>
      </c>
      <c r="C264" t="s">
        <v>283</v>
      </c>
      <c r="D264" s="85">
        <v>186719.55</v>
      </c>
      <c r="E264" s="85">
        <v>0</v>
      </c>
      <c r="F264" s="85">
        <v>0</v>
      </c>
      <c r="G264" s="85">
        <v>186719.55</v>
      </c>
    </row>
    <row r="265" spans="1:7" x14ac:dyDescent="0.25">
      <c r="A265" t="s">
        <v>594</v>
      </c>
      <c r="B265" t="s">
        <v>595</v>
      </c>
      <c r="C265" t="s">
        <v>271</v>
      </c>
      <c r="D265" s="85">
        <v>82772764.049999997</v>
      </c>
      <c r="E265" s="85">
        <v>0</v>
      </c>
      <c r="F265" s="85">
        <v>0</v>
      </c>
      <c r="G265" s="85">
        <v>82772764.049999997</v>
      </c>
    </row>
    <row r="266" spans="1:7" x14ac:dyDescent="0.25">
      <c r="A266" t="s">
        <v>596</v>
      </c>
      <c r="B266" t="s">
        <v>586</v>
      </c>
      <c r="C266" t="s">
        <v>271</v>
      </c>
      <c r="D266" s="85">
        <v>6691726.2599999998</v>
      </c>
      <c r="E266" s="85">
        <v>0</v>
      </c>
      <c r="F266" s="85">
        <v>0</v>
      </c>
      <c r="G266" s="85">
        <v>6691726.2599999998</v>
      </c>
    </row>
    <row r="267" spans="1:7" x14ac:dyDescent="0.25">
      <c r="A267" t="s">
        <v>597</v>
      </c>
      <c r="B267" t="s">
        <v>595</v>
      </c>
      <c r="C267" t="s">
        <v>283</v>
      </c>
      <c r="D267" s="85">
        <v>6691726.2599999998</v>
      </c>
      <c r="E267" s="85">
        <v>0</v>
      </c>
      <c r="F267" s="85">
        <v>0</v>
      </c>
      <c r="G267" s="85">
        <v>6691726.2599999998</v>
      </c>
    </row>
    <row r="268" spans="1:7" x14ac:dyDescent="0.25">
      <c r="A268" t="s">
        <v>598</v>
      </c>
      <c r="B268" t="s">
        <v>302</v>
      </c>
      <c r="C268" t="s">
        <v>271</v>
      </c>
      <c r="D268" s="85">
        <v>58397649.450000003</v>
      </c>
      <c r="E268" s="85">
        <v>0</v>
      </c>
      <c r="F268" s="85">
        <v>0</v>
      </c>
      <c r="G268" s="85">
        <v>58397649.450000003</v>
      </c>
    </row>
    <row r="269" spans="1:7" x14ac:dyDescent="0.25">
      <c r="A269" t="s">
        <v>599</v>
      </c>
      <c r="B269" t="s">
        <v>595</v>
      </c>
      <c r="C269" t="s">
        <v>283</v>
      </c>
      <c r="D269" s="85">
        <v>58397649.450000003</v>
      </c>
      <c r="E269" s="85">
        <v>0</v>
      </c>
      <c r="F269" s="85">
        <v>0</v>
      </c>
      <c r="G269" s="85">
        <v>58397649.450000003</v>
      </c>
    </row>
    <row r="270" spans="1:7" x14ac:dyDescent="0.25">
      <c r="A270" t="s">
        <v>600</v>
      </c>
      <c r="B270" t="s">
        <v>591</v>
      </c>
      <c r="C270" t="s">
        <v>271</v>
      </c>
      <c r="D270" s="85">
        <v>17683388.34</v>
      </c>
      <c r="E270" s="85">
        <v>0</v>
      </c>
      <c r="F270" s="85">
        <v>0</v>
      </c>
      <c r="G270" s="85">
        <v>17683388.34</v>
      </c>
    </row>
    <row r="271" spans="1:7" x14ac:dyDescent="0.25">
      <c r="A271" t="s">
        <v>601</v>
      </c>
      <c r="B271" t="s">
        <v>602</v>
      </c>
      <c r="C271" t="s">
        <v>283</v>
      </c>
      <c r="D271" s="85">
        <v>17580943.199999999</v>
      </c>
      <c r="E271" s="85">
        <v>0</v>
      </c>
      <c r="F271" s="85">
        <v>0</v>
      </c>
      <c r="G271" s="85">
        <v>17580943.199999999</v>
      </c>
    </row>
    <row r="272" spans="1:7" x14ac:dyDescent="0.25">
      <c r="A272" t="s">
        <v>603</v>
      </c>
      <c r="B272" t="s">
        <v>604</v>
      </c>
      <c r="C272" t="s">
        <v>283</v>
      </c>
      <c r="D272" s="85">
        <v>102445.14</v>
      </c>
      <c r="E272" s="85">
        <v>0</v>
      </c>
      <c r="F272" s="85">
        <v>0</v>
      </c>
      <c r="G272" s="85">
        <v>102445.14</v>
      </c>
    </row>
    <row r="273" spans="1:7" x14ac:dyDescent="0.25">
      <c r="A273" t="s">
        <v>605</v>
      </c>
      <c r="B273" t="s">
        <v>568</v>
      </c>
      <c r="C273" t="s">
        <v>271</v>
      </c>
      <c r="D273" s="85">
        <v>21482687.5</v>
      </c>
      <c r="E273" s="85">
        <v>0</v>
      </c>
      <c r="F273" s="85">
        <v>0</v>
      </c>
      <c r="G273" s="85">
        <v>21482687.5</v>
      </c>
    </row>
    <row r="274" spans="1:7" x14ac:dyDescent="0.25">
      <c r="A274" t="s">
        <v>606</v>
      </c>
      <c r="B274" t="s">
        <v>586</v>
      </c>
      <c r="C274" t="s">
        <v>271</v>
      </c>
      <c r="D274" s="85">
        <v>5815705.1299999999</v>
      </c>
      <c r="E274" s="85">
        <v>0</v>
      </c>
      <c r="F274" s="85">
        <v>0</v>
      </c>
      <c r="G274" s="85">
        <v>5815705.1299999999</v>
      </c>
    </row>
    <row r="275" spans="1:7" x14ac:dyDescent="0.25">
      <c r="A275" t="s">
        <v>607</v>
      </c>
      <c r="B275" t="s">
        <v>568</v>
      </c>
      <c r="C275" t="s">
        <v>283</v>
      </c>
      <c r="D275" s="85">
        <v>5815705.1299999999</v>
      </c>
      <c r="E275" s="85">
        <v>0</v>
      </c>
      <c r="F275" s="85">
        <v>0</v>
      </c>
      <c r="G275" s="85">
        <v>5815705.1299999999</v>
      </c>
    </row>
    <row r="276" spans="1:7" x14ac:dyDescent="0.25">
      <c r="A276" t="s">
        <v>608</v>
      </c>
      <c r="B276" t="s">
        <v>302</v>
      </c>
      <c r="C276" t="s">
        <v>271</v>
      </c>
      <c r="D276" s="85">
        <v>11849862.41</v>
      </c>
      <c r="E276" s="85">
        <v>0</v>
      </c>
      <c r="F276" s="85">
        <v>0</v>
      </c>
      <c r="G276" s="85">
        <v>11849862.41</v>
      </c>
    </row>
    <row r="277" spans="1:7" x14ac:dyDescent="0.25">
      <c r="A277" t="s">
        <v>609</v>
      </c>
      <c r="B277" t="s">
        <v>568</v>
      </c>
      <c r="C277" t="s">
        <v>283</v>
      </c>
      <c r="D277" s="85">
        <v>11849862.41</v>
      </c>
      <c r="E277" s="85">
        <v>0</v>
      </c>
      <c r="F277" s="85">
        <v>0</v>
      </c>
      <c r="G277" s="85">
        <v>11849862.41</v>
      </c>
    </row>
    <row r="278" spans="1:7" x14ac:dyDescent="0.25">
      <c r="A278" t="s">
        <v>610</v>
      </c>
      <c r="B278" t="s">
        <v>591</v>
      </c>
      <c r="C278" t="s">
        <v>271</v>
      </c>
      <c r="D278" s="85">
        <v>3817119.96</v>
      </c>
      <c r="E278" s="85">
        <v>0</v>
      </c>
      <c r="F278" s="85">
        <v>0</v>
      </c>
      <c r="G278" s="85">
        <v>3817119.96</v>
      </c>
    </row>
    <row r="279" spans="1:7" x14ac:dyDescent="0.25">
      <c r="A279" t="s">
        <v>611</v>
      </c>
      <c r="B279" t="s">
        <v>612</v>
      </c>
      <c r="C279" t="s">
        <v>283</v>
      </c>
      <c r="D279" s="85">
        <v>3618604.34</v>
      </c>
      <c r="E279" s="85">
        <v>0</v>
      </c>
      <c r="F279" s="85">
        <v>0</v>
      </c>
      <c r="G279" s="85">
        <v>3618604.34</v>
      </c>
    </row>
    <row r="280" spans="1:7" x14ac:dyDescent="0.25">
      <c r="A280" t="s">
        <v>613</v>
      </c>
      <c r="B280" t="s">
        <v>614</v>
      </c>
      <c r="C280" t="s">
        <v>283</v>
      </c>
      <c r="D280" s="85">
        <v>198515.62</v>
      </c>
      <c r="E280" s="85">
        <v>0</v>
      </c>
      <c r="F280" s="85">
        <v>0</v>
      </c>
      <c r="G280" s="85">
        <v>198515.62</v>
      </c>
    </row>
    <row r="281" spans="1:7" x14ac:dyDescent="0.25">
      <c r="A281" t="s">
        <v>615</v>
      </c>
      <c r="B281" t="s">
        <v>616</v>
      </c>
      <c r="C281" t="s">
        <v>271</v>
      </c>
      <c r="D281" s="85">
        <v>68275408.140000001</v>
      </c>
      <c r="E281" s="85">
        <v>0</v>
      </c>
      <c r="F281" s="85">
        <v>0</v>
      </c>
      <c r="G281" s="85">
        <v>68275408.140000001</v>
      </c>
    </row>
    <row r="282" spans="1:7" x14ac:dyDescent="0.25">
      <c r="A282" t="s">
        <v>617</v>
      </c>
      <c r="B282" t="s">
        <v>586</v>
      </c>
      <c r="C282" t="s">
        <v>271</v>
      </c>
      <c r="D282" s="85">
        <v>18563917.91</v>
      </c>
      <c r="E282" s="85">
        <v>0</v>
      </c>
      <c r="F282" s="85">
        <v>0</v>
      </c>
      <c r="G282" s="85">
        <v>18563917.91</v>
      </c>
    </row>
    <row r="283" spans="1:7" x14ac:dyDescent="0.25">
      <c r="A283" t="s">
        <v>618</v>
      </c>
      <c r="B283" t="s">
        <v>616</v>
      </c>
      <c r="C283" t="s">
        <v>283</v>
      </c>
      <c r="D283" s="85">
        <v>18563917.91</v>
      </c>
      <c r="E283" s="85">
        <v>0</v>
      </c>
      <c r="F283" s="85">
        <v>0</v>
      </c>
      <c r="G283" s="85">
        <v>18563917.91</v>
      </c>
    </row>
    <row r="284" spans="1:7" x14ac:dyDescent="0.25">
      <c r="A284" t="s">
        <v>619</v>
      </c>
      <c r="B284" t="s">
        <v>302</v>
      </c>
      <c r="C284" t="s">
        <v>271</v>
      </c>
      <c r="D284" s="85">
        <v>35623944.25</v>
      </c>
      <c r="E284" s="85">
        <v>0</v>
      </c>
      <c r="F284" s="85">
        <v>0</v>
      </c>
      <c r="G284" s="85">
        <v>35623944.25</v>
      </c>
    </row>
    <row r="285" spans="1:7" x14ac:dyDescent="0.25">
      <c r="A285" t="s">
        <v>620</v>
      </c>
      <c r="B285" t="s">
        <v>616</v>
      </c>
      <c r="C285" t="s">
        <v>283</v>
      </c>
      <c r="D285" s="85">
        <v>35623944.25</v>
      </c>
      <c r="E285" s="85">
        <v>0</v>
      </c>
      <c r="F285" s="85">
        <v>0</v>
      </c>
      <c r="G285" s="85">
        <v>35623944.25</v>
      </c>
    </row>
    <row r="286" spans="1:7" x14ac:dyDescent="0.25">
      <c r="A286" t="s">
        <v>621</v>
      </c>
      <c r="B286" t="s">
        <v>591</v>
      </c>
      <c r="C286" t="s">
        <v>271</v>
      </c>
      <c r="D286" s="85">
        <v>14087545.98</v>
      </c>
      <c r="E286" s="85">
        <v>0</v>
      </c>
      <c r="F286" s="85">
        <v>0</v>
      </c>
      <c r="G286" s="85">
        <v>14087545.98</v>
      </c>
    </row>
    <row r="287" spans="1:7" x14ac:dyDescent="0.25">
      <c r="A287" t="s">
        <v>622</v>
      </c>
      <c r="B287" t="s">
        <v>616</v>
      </c>
      <c r="C287" t="s">
        <v>283</v>
      </c>
      <c r="D287" s="85">
        <v>13763747.800000001</v>
      </c>
      <c r="E287" s="85">
        <v>0</v>
      </c>
      <c r="F287" s="85">
        <v>0</v>
      </c>
      <c r="G287" s="85">
        <v>13763747.800000001</v>
      </c>
    </row>
    <row r="288" spans="1:7" x14ac:dyDescent="0.25">
      <c r="A288" t="s">
        <v>623</v>
      </c>
      <c r="B288" t="s">
        <v>624</v>
      </c>
      <c r="C288" t="s">
        <v>283</v>
      </c>
      <c r="D288" s="85">
        <v>323798.18</v>
      </c>
      <c r="E288" s="85">
        <v>0</v>
      </c>
      <c r="F288" s="85">
        <v>0</v>
      </c>
      <c r="G288" s="85">
        <v>323798.18</v>
      </c>
    </row>
    <row r="289" spans="1:7" x14ac:dyDescent="0.25">
      <c r="A289" t="s">
        <v>625</v>
      </c>
      <c r="B289" t="s">
        <v>626</v>
      </c>
      <c r="C289" t="s">
        <v>271</v>
      </c>
      <c r="D289" s="85">
        <v>119715.93</v>
      </c>
      <c r="E289" s="85">
        <v>0</v>
      </c>
      <c r="F289" s="85">
        <v>0</v>
      </c>
      <c r="G289" s="85">
        <v>119715.93</v>
      </c>
    </row>
    <row r="290" spans="1:7" x14ac:dyDescent="0.25">
      <c r="A290" t="s">
        <v>627</v>
      </c>
      <c r="B290" t="s">
        <v>586</v>
      </c>
      <c r="C290" t="s">
        <v>271</v>
      </c>
      <c r="D290" s="85">
        <v>2076</v>
      </c>
      <c r="E290" s="85">
        <v>0</v>
      </c>
      <c r="F290" s="85">
        <v>0</v>
      </c>
      <c r="G290" s="85">
        <v>2076</v>
      </c>
    </row>
    <row r="291" spans="1:7" x14ac:dyDescent="0.25">
      <c r="A291" t="s">
        <v>628</v>
      </c>
      <c r="B291" t="s">
        <v>626</v>
      </c>
      <c r="C291" t="s">
        <v>283</v>
      </c>
      <c r="D291" s="85">
        <v>2076</v>
      </c>
      <c r="E291" s="85">
        <v>0</v>
      </c>
      <c r="F291" s="85">
        <v>0</v>
      </c>
      <c r="G291" s="85">
        <v>2076</v>
      </c>
    </row>
    <row r="292" spans="1:7" x14ac:dyDescent="0.25">
      <c r="A292" t="s">
        <v>629</v>
      </c>
      <c r="B292" t="s">
        <v>302</v>
      </c>
      <c r="C292" t="s">
        <v>271</v>
      </c>
      <c r="D292" s="85">
        <v>117639.93</v>
      </c>
      <c r="E292" s="85">
        <v>0</v>
      </c>
      <c r="F292" s="85">
        <v>0</v>
      </c>
      <c r="G292" s="85">
        <v>117639.93</v>
      </c>
    </row>
    <row r="293" spans="1:7" x14ac:dyDescent="0.25">
      <c r="A293" t="s">
        <v>630</v>
      </c>
      <c r="B293" t="s">
        <v>626</v>
      </c>
      <c r="C293" t="s">
        <v>283</v>
      </c>
      <c r="D293" s="85">
        <v>117639.93</v>
      </c>
      <c r="E293" s="85">
        <v>0</v>
      </c>
      <c r="F293" s="85">
        <v>0</v>
      </c>
      <c r="G293" s="85">
        <v>117639.93</v>
      </c>
    </row>
    <row r="294" spans="1:7" x14ac:dyDescent="0.25">
      <c r="A294" t="s">
        <v>631</v>
      </c>
      <c r="B294" t="s">
        <v>632</v>
      </c>
      <c r="C294" t="s">
        <v>271</v>
      </c>
      <c r="D294" s="85">
        <v>117302.37</v>
      </c>
      <c r="E294" s="85">
        <v>0</v>
      </c>
      <c r="F294" s="85">
        <v>0</v>
      </c>
      <c r="G294" s="85">
        <v>117302.37</v>
      </c>
    </row>
    <row r="295" spans="1:7" x14ac:dyDescent="0.25">
      <c r="A295" t="s">
        <v>633</v>
      </c>
      <c r="B295" t="s">
        <v>586</v>
      </c>
      <c r="C295" t="s">
        <v>271</v>
      </c>
      <c r="D295" s="85">
        <v>27417.07</v>
      </c>
      <c r="E295" s="85">
        <v>0</v>
      </c>
      <c r="F295" s="85">
        <v>0</v>
      </c>
      <c r="G295" s="85">
        <v>27417.07</v>
      </c>
    </row>
    <row r="296" spans="1:7" x14ac:dyDescent="0.25">
      <c r="A296" t="s">
        <v>634</v>
      </c>
      <c r="B296" t="s">
        <v>632</v>
      </c>
      <c r="C296" t="s">
        <v>283</v>
      </c>
      <c r="D296" s="85">
        <v>27417.07</v>
      </c>
      <c r="E296" s="85">
        <v>0</v>
      </c>
      <c r="F296" s="85">
        <v>0</v>
      </c>
      <c r="G296" s="85">
        <v>27417.07</v>
      </c>
    </row>
    <row r="297" spans="1:7" x14ac:dyDescent="0.25">
      <c r="A297" t="s">
        <v>635</v>
      </c>
      <c r="B297" t="s">
        <v>302</v>
      </c>
      <c r="C297" t="s">
        <v>271</v>
      </c>
      <c r="D297" s="85">
        <v>52292.86</v>
      </c>
      <c r="E297" s="85">
        <v>0</v>
      </c>
      <c r="F297" s="85">
        <v>0</v>
      </c>
      <c r="G297" s="85">
        <v>52292.86</v>
      </c>
    </row>
    <row r="298" spans="1:7" x14ac:dyDescent="0.25">
      <c r="A298" t="s">
        <v>636</v>
      </c>
      <c r="B298" t="s">
        <v>632</v>
      </c>
      <c r="C298" t="s">
        <v>283</v>
      </c>
      <c r="D298" s="85">
        <v>52292.86</v>
      </c>
      <c r="E298" s="85">
        <v>0</v>
      </c>
      <c r="F298" s="85">
        <v>0</v>
      </c>
      <c r="G298" s="85">
        <v>52292.86</v>
      </c>
    </row>
    <row r="299" spans="1:7" x14ac:dyDescent="0.25">
      <c r="A299" t="s">
        <v>637</v>
      </c>
      <c r="B299" t="s">
        <v>591</v>
      </c>
      <c r="C299" t="s">
        <v>271</v>
      </c>
      <c r="D299" s="85">
        <v>37592.44</v>
      </c>
      <c r="E299" s="85">
        <v>0</v>
      </c>
      <c r="F299" s="85">
        <v>0</v>
      </c>
      <c r="G299" s="85">
        <v>37592.44</v>
      </c>
    </row>
    <row r="300" spans="1:7" x14ac:dyDescent="0.25">
      <c r="A300" t="s">
        <v>638</v>
      </c>
      <c r="B300" t="s">
        <v>632</v>
      </c>
      <c r="C300" t="s">
        <v>283</v>
      </c>
      <c r="D300" s="85">
        <v>21891.46</v>
      </c>
      <c r="E300" s="85">
        <v>0</v>
      </c>
      <c r="F300" s="85">
        <v>0</v>
      </c>
      <c r="G300" s="85">
        <v>21891.46</v>
      </c>
    </row>
    <row r="301" spans="1:7" x14ac:dyDescent="0.25">
      <c r="A301" t="s">
        <v>639</v>
      </c>
      <c r="B301" t="s">
        <v>640</v>
      </c>
      <c r="C301" t="s">
        <v>283</v>
      </c>
      <c r="D301" s="85">
        <v>15700.98</v>
      </c>
      <c r="E301" s="85">
        <v>0</v>
      </c>
      <c r="F301" s="85">
        <v>0</v>
      </c>
      <c r="G301" s="85">
        <v>15700.98</v>
      </c>
    </row>
    <row r="302" spans="1:7" x14ac:dyDescent="0.25">
      <c r="A302" t="s">
        <v>641</v>
      </c>
      <c r="B302" t="s">
        <v>642</v>
      </c>
      <c r="C302" t="s">
        <v>271</v>
      </c>
      <c r="D302" s="85">
        <v>-56922585.210000001</v>
      </c>
      <c r="E302" s="85">
        <v>0.01</v>
      </c>
      <c r="F302" s="85">
        <v>392487.39</v>
      </c>
      <c r="G302" s="85">
        <v>-57315072.590000004</v>
      </c>
    </row>
    <row r="303" spans="1:7" x14ac:dyDescent="0.25">
      <c r="A303" t="s">
        <v>643</v>
      </c>
      <c r="B303" t="s">
        <v>595</v>
      </c>
      <c r="C303" t="s">
        <v>271</v>
      </c>
      <c r="D303" s="85">
        <v>-20779980.300000001</v>
      </c>
      <c r="E303" s="85">
        <v>0.01</v>
      </c>
      <c r="F303" s="85">
        <v>151267.17000000001</v>
      </c>
      <c r="G303" s="85">
        <v>-20931247.460000001</v>
      </c>
    </row>
    <row r="304" spans="1:7" x14ac:dyDescent="0.25">
      <c r="A304" t="s">
        <v>644</v>
      </c>
      <c r="B304" t="s">
        <v>586</v>
      </c>
      <c r="C304" t="s">
        <v>271</v>
      </c>
      <c r="D304" s="85">
        <v>-2716347.67</v>
      </c>
      <c r="E304" s="85">
        <v>0</v>
      </c>
      <c r="F304" s="85">
        <v>13205.79</v>
      </c>
      <c r="G304" s="85">
        <v>-2729553.46</v>
      </c>
    </row>
    <row r="305" spans="1:7" x14ac:dyDescent="0.25">
      <c r="A305" t="s">
        <v>645</v>
      </c>
      <c r="B305" t="s">
        <v>595</v>
      </c>
      <c r="C305" t="s">
        <v>283</v>
      </c>
      <c r="D305" s="85">
        <v>-2716347.67</v>
      </c>
      <c r="E305" s="85">
        <v>0</v>
      </c>
      <c r="F305" s="85">
        <v>13205.79</v>
      </c>
      <c r="G305" s="85">
        <v>-2729553.46</v>
      </c>
    </row>
    <row r="306" spans="1:7" x14ac:dyDescent="0.25">
      <c r="A306" t="s">
        <v>646</v>
      </c>
      <c r="B306" t="s">
        <v>302</v>
      </c>
      <c r="C306" t="s">
        <v>271</v>
      </c>
      <c r="D306" s="85">
        <v>-13781453.779999999</v>
      </c>
      <c r="E306" s="85">
        <v>0.01</v>
      </c>
      <c r="F306" s="85">
        <v>106081.95</v>
      </c>
      <c r="G306" s="85">
        <v>-13887535.720000001</v>
      </c>
    </row>
    <row r="307" spans="1:7" x14ac:dyDescent="0.25">
      <c r="A307" t="s">
        <v>647</v>
      </c>
      <c r="B307" t="s">
        <v>595</v>
      </c>
      <c r="C307" t="s">
        <v>283</v>
      </c>
      <c r="D307" s="85">
        <v>-13781453.779999999</v>
      </c>
      <c r="E307" s="85">
        <v>0.01</v>
      </c>
      <c r="F307" s="85">
        <v>106081.95</v>
      </c>
      <c r="G307" s="85">
        <v>-13887535.720000001</v>
      </c>
    </row>
    <row r="308" spans="1:7" x14ac:dyDescent="0.25">
      <c r="A308" t="s">
        <v>648</v>
      </c>
      <c r="B308" t="s">
        <v>591</v>
      </c>
      <c r="C308" t="s">
        <v>271</v>
      </c>
      <c r="D308" s="85">
        <v>-4282178.8499999996</v>
      </c>
      <c r="E308" s="85">
        <v>0</v>
      </c>
      <c r="F308" s="85">
        <v>31979.43</v>
      </c>
      <c r="G308" s="85">
        <v>-4314158.28</v>
      </c>
    </row>
    <row r="309" spans="1:7" x14ac:dyDescent="0.25">
      <c r="A309" t="s">
        <v>649</v>
      </c>
      <c r="B309" t="s">
        <v>595</v>
      </c>
      <c r="C309" t="s">
        <v>283</v>
      </c>
      <c r="D309" s="85">
        <v>-4275593.78</v>
      </c>
      <c r="E309" s="85">
        <v>0</v>
      </c>
      <c r="F309" s="85">
        <v>31808.69</v>
      </c>
      <c r="G309" s="85">
        <v>-4307402.47</v>
      </c>
    </row>
    <row r="310" spans="1:7" x14ac:dyDescent="0.25">
      <c r="A310" t="s">
        <v>650</v>
      </c>
      <c r="B310" t="s">
        <v>651</v>
      </c>
      <c r="C310" t="s">
        <v>283</v>
      </c>
      <c r="D310" s="85">
        <v>-6585.07</v>
      </c>
      <c r="E310" s="85">
        <v>0</v>
      </c>
      <c r="F310" s="85">
        <v>170.74</v>
      </c>
      <c r="G310" s="85">
        <v>-6755.81</v>
      </c>
    </row>
    <row r="311" spans="1:7" x14ac:dyDescent="0.25">
      <c r="A311" t="s">
        <v>652</v>
      </c>
      <c r="B311" t="s">
        <v>568</v>
      </c>
      <c r="C311" t="s">
        <v>271</v>
      </c>
      <c r="D311" s="85">
        <v>-7616786.9500000002</v>
      </c>
      <c r="E311" s="85">
        <v>0</v>
      </c>
      <c r="F311" s="85">
        <v>47821.53</v>
      </c>
      <c r="G311" s="85">
        <v>-7664608.4800000004</v>
      </c>
    </row>
    <row r="312" spans="1:7" x14ac:dyDescent="0.25">
      <c r="A312" t="s">
        <v>653</v>
      </c>
      <c r="B312" t="s">
        <v>586</v>
      </c>
      <c r="C312" t="s">
        <v>271</v>
      </c>
      <c r="D312" s="85">
        <v>-2598111.2400000002</v>
      </c>
      <c r="E312" s="85">
        <v>0</v>
      </c>
      <c r="F312" s="85">
        <v>11940.34</v>
      </c>
      <c r="G312" s="85">
        <v>-2610051.58</v>
      </c>
    </row>
    <row r="313" spans="1:7" x14ac:dyDescent="0.25">
      <c r="A313" t="s">
        <v>654</v>
      </c>
      <c r="B313" t="s">
        <v>568</v>
      </c>
      <c r="C313" t="s">
        <v>283</v>
      </c>
      <c r="D313" s="85">
        <v>-2598111.2400000002</v>
      </c>
      <c r="E313" s="85">
        <v>0</v>
      </c>
      <c r="F313" s="85">
        <v>11940.34</v>
      </c>
      <c r="G313" s="85">
        <v>-2610051.58</v>
      </c>
    </row>
    <row r="314" spans="1:7" x14ac:dyDescent="0.25">
      <c r="A314" t="s">
        <v>655</v>
      </c>
      <c r="B314" t="s">
        <v>302</v>
      </c>
      <c r="C314" t="s">
        <v>271</v>
      </c>
      <c r="D314" s="85">
        <v>-3408451.3</v>
      </c>
      <c r="E314" s="85">
        <v>0</v>
      </c>
      <c r="F314" s="85">
        <v>27114.49</v>
      </c>
      <c r="G314" s="85">
        <v>-3435565.79</v>
      </c>
    </row>
    <row r="315" spans="1:7" x14ac:dyDescent="0.25">
      <c r="A315" t="s">
        <v>656</v>
      </c>
      <c r="B315" t="s">
        <v>568</v>
      </c>
      <c r="C315" t="s">
        <v>283</v>
      </c>
      <c r="D315" s="85">
        <v>-3408451.3</v>
      </c>
      <c r="E315" s="85">
        <v>0</v>
      </c>
      <c r="F315" s="85">
        <v>27114.49</v>
      </c>
      <c r="G315" s="85">
        <v>-3435565.79</v>
      </c>
    </row>
    <row r="316" spans="1:7" x14ac:dyDescent="0.25">
      <c r="A316" t="s">
        <v>657</v>
      </c>
      <c r="B316" t="s">
        <v>591</v>
      </c>
      <c r="C316" t="s">
        <v>271</v>
      </c>
      <c r="D316" s="85">
        <v>-1610224.41</v>
      </c>
      <c r="E316" s="85">
        <v>0</v>
      </c>
      <c r="F316" s="85">
        <v>8766.7000000000007</v>
      </c>
      <c r="G316" s="85">
        <v>-1618991.11</v>
      </c>
    </row>
    <row r="317" spans="1:7" x14ac:dyDescent="0.25">
      <c r="A317" t="s">
        <v>658</v>
      </c>
      <c r="B317" t="s">
        <v>568</v>
      </c>
      <c r="C317" t="s">
        <v>283</v>
      </c>
      <c r="D317" s="85">
        <v>-1586654.65</v>
      </c>
      <c r="E317" s="85">
        <v>0</v>
      </c>
      <c r="F317" s="85">
        <v>8285.5400000000009</v>
      </c>
      <c r="G317" s="85">
        <v>-1594940.19</v>
      </c>
    </row>
    <row r="318" spans="1:7" x14ac:dyDescent="0.25">
      <c r="A318" t="s">
        <v>659</v>
      </c>
      <c r="B318" t="s">
        <v>614</v>
      </c>
      <c r="C318" t="s">
        <v>283</v>
      </c>
      <c r="D318" s="85">
        <v>-23569.759999999998</v>
      </c>
      <c r="E318" s="85">
        <v>0</v>
      </c>
      <c r="F318" s="85">
        <v>481.16</v>
      </c>
      <c r="G318" s="85">
        <v>-24050.92</v>
      </c>
    </row>
    <row r="319" spans="1:7" x14ac:dyDescent="0.25">
      <c r="A319" t="s">
        <v>660</v>
      </c>
      <c r="B319" t="s">
        <v>616</v>
      </c>
      <c r="C319" t="s">
        <v>271</v>
      </c>
      <c r="D319" s="85">
        <v>-28343730.079999998</v>
      </c>
      <c r="E319" s="85">
        <v>0</v>
      </c>
      <c r="F319" s="85">
        <v>191929.47</v>
      </c>
      <c r="G319" s="85">
        <v>-28535659.550000001</v>
      </c>
    </row>
    <row r="320" spans="1:7" x14ac:dyDescent="0.25">
      <c r="A320" t="s">
        <v>661</v>
      </c>
      <c r="B320" t="s">
        <v>586</v>
      </c>
      <c r="C320" t="s">
        <v>271</v>
      </c>
      <c r="D320" s="85">
        <v>-10287418.82</v>
      </c>
      <c r="E320" s="85">
        <v>0</v>
      </c>
      <c r="F320" s="85">
        <v>52369.9</v>
      </c>
      <c r="G320" s="85">
        <v>-10339788.720000001</v>
      </c>
    </row>
    <row r="321" spans="1:7" x14ac:dyDescent="0.25">
      <c r="A321" t="s">
        <v>662</v>
      </c>
      <c r="B321" t="s">
        <v>616</v>
      </c>
      <c r="C321" t="s">
        <v>283</v>
      </c>
      <c r="D321" s="85">
        <v>-10287418.82</v>
      </c>
      <c r="E321" s="85">
        <v>0</v>
      </c>
      <c r="F321" s="85">
        <v>52369.9</v>
      </c>
      <c r="G321" s="85">
        <v>-10339788.720000001</v>
      </c>
    </row>
    <row r="322" spans="1:7" x14ac:dyDescent="0.25">
      <c r="A322" t="s">
        <v>663</v>
      </c>
      <c r="B322" t="s">
        <v>302</v>
      </c>
      <c r="C322" t="s">
        <v>271</v>
      </c>
      <c r="D322" s="85">
        <v>-12842442.4</v>
      </c>
      <c r="E322" s="85">
        <v>0</v>
      </c>
      <c r="F322" s="85">
        <v>101229.06</v>
      </c>
      <c r="G322" s="85">
        <v>-12943671.460000001</v>
      </c>
    </row>
    <row r="323" spans="1:7" x14ac:dyDescent="0.25">
      <c r="A323" t="s">
        <v>664</v>
      </c>
      <c r="B323" t="s">
        <v>616</v>
      </c>
      <c r="C323" t="s">
        <v>283</v>
      </c>
      <c r="D323" s="85">
        <v>-12842442.4</v>
      </c>
      <c r="E323" s="85">
        <v>0</v>
      </c>
      <c r="F323" s="85">
        <v>101229.06</v>
      </c>
      <c r="G323" s="85">
        <v>-12943671.460000001</v>
      </c>
    </row>
    <row r="324" spans="1:7" x14ac:dyDescent="0.25">
      <c r="A324" t="s">
        <v>665</v>
      </c>
      <c r="B324" t="s">
        <v>591</v>
      </c>
      <c r="C324" t="s">
        <v>271</v>
      </c>
      <c r="D324" s="85">
        <v>-5213868.8600000003</v>
      </c>
      <c r="E324" s="85">
        <v>0</v>
      </c>
      <c r="F324" s="85">
        <v>38330.51</v>
      </c>
      <c r="G324" s="85">
        <v>-5252199.37</v>
      </c>
    </row>
    <row r="325" spans="1:7" x14ac:dyDescent="0.25">
      <c r="A325" t="s">
        <v>666</v>
      </c>
      <c r="B325" t="s">
        <v>616</v>
      </c>
      <c r="C325" t="s">
        <v>283</v>
      </c>
      <c r="D325" s="85">
        <v>-5184805.43</v>
      </c>
      <c r="E325" s="85">
        <v>0</v>
      </c>
      <c r="F325" s="85">
        <v>37342.89</v>
      </c>
      <c r="G325" s="85">
        <v>-5222148.32</v>
      </c>
    </row>
    <row r="326" spans="1:7" x14ac:dyDescent="0.25">
      <c r="A326" t="s">
        <v>667</v>
      </c>
      <c r="B326" t="s">
        <v>624</v>
      </c>
      <c r="C326" t="s">
        <v>283</v>
      </c>
      <c r="D326" s="85">
        <v>-29063.43</v>
      </c>
      <c r="E326" s="85">
        <v>0</v>
      </c>
      <c r="F326" s="85">
        <v>987.62</v>
      </c>
      <c r="G326" s="85">
        <v>-30051.05</v>
      </c>
    </row>
    <row r="327" spans="1:7" x14ac:dyDescent="0.25">
      <c r="A327" t="s">
        <v>668</v>
      </c>
      <c r="B327" t="s">
        <v>626</v>
      </c>
      <c r="C327" t="s">
        <v>271</v>
      </c>
      <c r="D327" s="85">
        <v>-108383.88</v>
      </c>
      <c r="E327" s="85">
        <v>0</v>
      </c>
      <c r="F327" s="85">
        <v>917.64</v>
      </c>
      <c r="G327" s="85">
        <v>-109301.52</v>
      </c>
    </row>
    <row r="328" spans="1:7" x14ac:dyDescent="0.25">
      <c r="A328" t="s">
        <v>669</v>
      </c>
      <c r="B328" t="s">
        <v>586</v>
      </c>
      <c r="C328" t="s">
        <v>271</v>
      </c>
      <c r="D328" s="85">
        <v>-2076</v>
      </c>
      <c r="E328" s="85">
        <v>0</v>
      </c>
      <c r="F328" s="85">
        <v>0</v>
      </c>
      <c r="G328" s="85">
        <v>-2076</v>
      </c>
    </row>
    <row r="329" spans="1:7" x14ac:dyDescent="0.25">
      <c r="A329" t="s">
        <v>670</v>
      </c>
      <c r="B329" t="s">
        <v>626</v>
      </c>
      <c r="C329" t="s">
        <v>283</v>
      </c>
      <c r="D329" s="85">
        <v>-2076</v>
      </c>
      <c r="E329" s="85">
        <v>0</v>
      </c>
      <c r="F329" s="85">
        <v>0</v>
      </c>
      <c r="G329" s="85">
        <v>-2076</v>
      </c>
    </row>
    <row r="330" spans="1:7" x14ac:dyDescent="0.25">
      <c r="A330" t="s">
        <v>671</v>
      </c>
      <c r="B330" t="s">
        <v>302</v>
      </c>
      <c r="C330" t="s">
        <v>271</v>
      </c>
      <c r="D330" s="85">
        <v>-106307.88</v>
      </c>
      <c r="E330" s="85">
        <v>0</v>
      </c>
      <c r="F330" s="85">
        <v>917.64</v>
      </c>
      <c r="G330" s="85">
        <v>-107225.52</v>
      </c>
    </row>
    <row r="331" spans="1:7" x14ac:dyDescent="0.25">
      <c r="A331" t="s">
        <v>672</v>
      </c>
      <c r="B331" t="s">
        <v>626</v>
      </c>
      <c r="C331" t="s">
        <v>283</v>
      </c>
      <c r="D331" s="85">
        <v>-106307.88</v>
      </c>
      <c r="E331" s="85">
        <v>0</v>
      </c>
      <c r="F331" s="85">
        <v>917.64</v>
      </c>
      <c r="G331" s="85">
        <v>-107225.52</v>
      </c>
    </row>
    <row r="332" spans="1:7" x14ac:dyDescent="0.25">
      <c r="A332" t="s">
        <v>673</v>
      </c>
      <c r="B332" t="s">
        <v>632</v>
      </c>
      <c r="C332" t="s">
        <v>271</v>
      </c>
      <c r="D332" s="85">
        <v>-73704</v>
      </c>
      <c r="E332" s="85">
        <v>0</v>
      </c>
      <c r="F332" s="85">
        <v>551.58000000000004</v>
      </c>
      <c r="G332" s="85">
        <v>-74255.58</v>
      </c>
    </row>
    <row r="333" spans="1:7" x14ac:dyDescent="0.25">
      <c r="A333" t="s">
        <v>674</v>
      </c>
      <c r="B333" t="s">
        <v>586</v>
      </c>
      <c r="C333" t="s">
        <v>271</v>
      </c>
      <c r="D333" s="85">
        <v>-19606.05</v>
      </c>
      <c r="E333" s="85">
        <v>0</v>
      </c>
      <c r="F333" s="85">
        <v>91.91</v>
      </c>
      <c r="G333" s="85">
        <v>-19697.96</v>
      </c>
    </row>
    <row r="334" spans="1:7" x14ac:dyDescent="0.25">
      <c r="A334" t="s">
        <v>675</v>
      </c>
      <c r="B334" t="s">
        <v>632</v>
      </c>
      <c r="C334" t="s">
        <v>283</v>
      </c>
      <c r="D334" s="85">
        <v>-19606.05</v>
      </c>
      <c r="E334" s="85">
        <v>0</v>
      </c>
      <c r="F334" s="85">
        <v>91.91</v>
      </c>
      <c r="G334" s="85">
        <v>-19697.96</v>
      </c>
    </row>
    <row r="335" spans="1:7" x14ac:dyDescent="0.25">
      <c r="A335" t="s">
        <v>676</v>
      </c>
      <c r="B335" t="s">
        <v>302</v>
      </c>
      <c r="C335" t="s">
        <v>271</v>
      </c>
      <c r="D335" s="85">
        <v>-38462.550000000003</v>
      </c>
      <c r="E335" s="85">
        <v>0</v>
      </c>
      <c r="F335" s="85">
        <v>272.26</v>
      </c>
      <c r="G335" s="85">
        <v>-38734.81</v>
      </c>
    </row>
    <row r="336" spans="1:7" x14ac:dyDescent="0.25">
      <c r="A336" t="s">
        <v>677</v>
      </c>
      <c r="B336" t="s">
        <v>632</v>
      </c>
      <c r="C336" t="s">
        <v>283</v>
      </c>
      <c r="D336" s="85">
        <v>-38462.550000000003</v>
      </c>
      <c r="E336" s="85">
        <v>0</v>
      </c>
      <c r="F336" s="85">
        <v>272.26</v>
      </c>
      <c r="G336" s="85">
        <v>-38734.81</v>
      </c>
    </row>
    <row r="337" spans="1:7" x14ac:dyDescent="0.25">
      <c r="A337" t="s">
        <v>678</v>
      </c>
      <c r="B337" t="s">
        <v>591</v>
      </c>
      <c r="C337" t="s">
        <v>271</v>
      </c>
      <c r="D337" s="85">
        <v>-15635.4</v>
      </c>
      <c r="E337" s="85">
        <v>0</v>
      </c>
      <c r="F337" s="85">
        <v>187.41</v>
      </c>
      <c r="G337" s="85">
        <v>-15822.81</v>
      </c>
    </row>
    <row r="338" spans="1:7" x14ac:dyDescent="0.25">
      <c r="A338" t="s">
        <v>679</v>
      </c>
      <c r="B338" t="s">
        <v>632</v>
      </c>
      <c r="C338" t="s">
        <v>283</v>
      </c>
      <c r="D338" s="85">
        <v>-13383.84</v>
      </c>
      <c r="E338" s="85">
        <v>0</v>
      </c>
      <c r="F338" s="85">
        <v>105.63</v>
      </c>
      <c r="G338" s="85">
        <v>-13489.47</v>
      </c>
    </row>
    <row r="339" spans="1:7" x14ac:dyDescent="0.25">
      <c r="A339" t="s">
        <v>680</v>
      </c>
      <c r="B339" t="s">
        <v>640</v>
      </c>
      <c r="C339" t="s">
        <v>283</v>
      </c>
      <c r="D339" s="85">
        <v>-2251.56</v>
      </c>
      <c r="E339" s="85">
        <v>0</v>
      </c>
      <c r="F339" s="85">
        <v>81.78</v>
      </c>
      <c r="G339" s="85">
        <v>-2333.34</v>
      </c>
    </row>
    <row r="340" spans="1:7" x14ac:dyDescent="0.25">
      <c r="A340" t="s">
        <v>681</v>
      </c>
      <c r="B340" t="s">
        <v>682</v>
      </c>
      <c r="C340" t="s">
        <v>271</v>
      </c>
      <c r="D340" s="85">
        <v>5082319.3099999996</v>
      </c>
      <c r="E340" s="85">
        <v>202456.27</v>
      </c>
      <c r="F340" s="85">
        <v>484.52</v>
      </c>
      <c r="G340" s="85">
        <v>5284291.0599999996</v>
      </c>
    </row>
    <row r="341" spans="1:7" x14ac:dyDescent="0.25">
      <c r="A341" t="s">
        <v>683</v>
      </c>
      <c r="B341" t="s">
        <v>565</v>
      </c>
      <c r="C341" t="s">
        <v>271</v>
      </c>
      <c r="D341" s="85">
        <v>244457.54</v>
      </c>
      <c r="E341" s="85">
        <v>0</v>
      </c>
      <c r="F341" s="85">
        <v>0</v>
      </c>
      <c r="G341" s="85">
        <v>244457.54</v>
      </c>
    </row>
    <row r="342" spans="1:7" x14ac:dyDescent="0.25">
      <c r="A342" t="s">
        <v>684</v>
      </c>
      <c r="B342" t="s">
        <v>586</v>
      </c>
      <c r="C342" t="s">
        <v>271</v>
      </c>
      <c r="D342" s="85">
        <v>244457.54</v>
      </c>
      <c r="E342" s="85">
        <v>0</v>
      </c>
      <c r="F342" s="85">
        <v>0</v>
      </c>
      <c r="G342" s="85">
        <v>244457.54</v>
      </c>
    </row>
    <row r="343" spans="1:7" x14ac:dyDescent="0.25">
      <c r="A343" t="s">
        <v>685</v>
      </c>
      <c r="B343" t="s">
        <v>565</v>
      </c>
      <c r="C343" t="s">
        <v>283</v>
      </c>
      <c r="D343" s="85">
        <v>637907.54</v>
      </c>
      <c r="E343" s="85">
        <v>0</v>
      </c>
      <c r="F343" s="85">
        <v>0</v>
      </c>
      <c r="G343" s="85">
        <v>637907.54</v>
      </c>
    </row>
    <row r="344" spans="1:7" x14ac:dyDescent="0.25">
      <c r="A344" t="s">
        <v>686</v>
      </c>
      <c r="B344" t="s">
        <v>687</v>
      </c>
      <c r="C344" t="s">
        <v>283</v>
      </c>
      <c r="D344" s="85">
        <v>-393450</v>
      </c>
      <c r="E344" s="85">
        <v>0</v>
      </c>
      <c r="F344" s="85">
        <v>0</v>
      </c>
      <c r="G344" s="85">
        <v>-393450</v>
      </c>
    </row>
    <row r="345" spans="1:7" x14ac:dyDescent="0.25">
      <c r="A345" t="s">
        <v>688</v>
      </c>
      <c r="B345" t="s">
        <v>616</v>
      </c>
      <c r="C345" t="s">
        <v>271</v>
      </c>
      <c r="D345" s="85">
        <v>444357.68</v>
      </c>
      <c r="E345" s="85">
        <v>2537.2399999999998</v>
      </c>
      <c r="F345" s="85">
        <v>0</v>
      </c>
      <c r="G345" s="85">
        <v>446894.92</v>
      </c>
    </row>
    <row r="346" spans="1:7" x14ac:dyDescent="0.25">
      <c r="A346" t="s">
        <v>689</v>
      </c>
      <c r="B346" t="s">
        <v>586</v>
      </c>
      <c r="C346" t="s">
        <v>271</v>
      </c>
      <c r="D346" s="85">
        <v>340994.65</v>
      </c>
      <c r="E346" s="85">
        <v>1537.24</v>
      </c>
      <c r="F346" s="85">
        <v>0</v>
      </c>
      <c r="G346" s="85">
        <v>342531.89</v>
      </c>
    </row>
    <row r="347" spans="1:7" x14ac:dyDescent="0.25">
      <c r="A347" t="s">
        <v>690</v>
      </c>
      <c r="B347" t="s">
        <v>616</v>
      </c>
      <c r="C347" t="s">
        <v>283</v>
      </c>
      <c r="D347" s="85">
        <v>1292243.3799999999</v>
      </c>
      <c r="E347" s="85">
        <v>1537.24</v>
      </c>
      <c r="F347" s="85">
        <v>0</v>
      </c>
      <c r="G347" s="85">
        <v>1293780.6200000001</v>
      </c>
    </row>
    <row r="348" spans="1:7" x14ac:dyDescent="0.25">
      <c r="A348" t="s">
        <v>691</v>
      </c>
      <c r="B348" t="s">
        <v>692</v>
      </c>
      <c r="C348" t="s">
        <v>283</v>
      </c>
      <c r="D348" s="85">
        <v>26694.32</v>
      </c>
      <c r="E348" s="85">
        <v>0</v>
      </c>
      <c r="F348" s="85">
        <v>0</v>
      </c>
      <c r="G348" s="85">
        <v>26694.32</v>
      </c>
    </row>
    <row r="349" spans="1:7" x14ac:dyDescent="0.25">
      <c r="A349" t="s">
        <v>693</v>
      </c>
      <c r="B349" t="s">
        <v>694</v>
      </c>
      <c r="C349" t="s">
        <v>283</v>
      </c>
      <c r="D349" s="85">
        <v>-951248.73</v>
      </c>
      <c r="E349" s="85">
        <v>0</v>
      </c>
      <c r="F349" s="85">
        <v>0</v>
      </c>
      <c r="G349" s="85">
        <v>-951248.73</v>
      </c>
    </row>
    <row r="350" spans="1:7" x14ac:dyDescent="0.25">
      <c r="A350" t="s">
        <v>695</v>
      </c>
      <c r="B350" t="s">
        <v>696</v>
      </c>
      <c r="C350" t="s">
        <v>283</v>
      </c>
      <c r="D350" s="85">
        <v>-26694.32</v>
      </c>
      <c r="E350" s="85">
        <v>0</v>
      </c>
      <c r="F350" s="85">
        <v>0</v>
      </c>
      <c r="G350" s="85">
        <v>-26694.32</v>
      </c>
    </row>
    <row r="351" spans="1:7" x14ac:dyDescent="0.25">
      <c r="A351" t="s">
        <v>697</v>
      </c>
      <c r="B351" t="s">
        <v>591</v>
      </c>
      <c r="C351" t="s">
        <v>271</v>
      </c>
      <c r="D351" s="85">
        <v>103363.03</v>
      </c>
      <c r="E351" s="85">
        <v>1000</v>
      </c>
      <c r="F351" s="85">
        <v>0</v>
      </c>
      <c r="G351" s="85">
        <v>104363.03</v>
      </c>
    </row>
    <row r="352" spans="1:7" x14ac:dyDescent="0.25">
      <c r="A352" t="s">
        <v>698</v>
      </c>
      <c r="B352" t="s">
        <v>616</v>
      </c>
      <c r="C352" t="s">
        <v>283</v>
      </c>
      <c r="D352" s="85">
        <v>705433.75</v>
      </c>
      <c r="E352" s="85">
        <v>1000</v>
      </c>
      <c r="F352" s="85">
        <v>0</v>
      </c>
      <c r="G352" s="85">
        <v>706433.75</v>
      </c>
    </row>
    <row r="353" spans="1:7" x14ac:dyDescent="0.25">
      <c r="A353" t="s">
        <v>699</v>
      </c>
      <c r="B353" t="s">
        <v>694</v>
      </c>
      <c r="C353" t="s">
        <v>283</v>
      </c>
      <c r="D353" s="85">
        <v>-602070.72</v>
      </c>
      <c r="E353" s="85">
        <v>0</v>
      </c>
      <c r="F353" s="85">
        <v>0</v>
      </c>
      <c r="G353" s="85">
        <v>-602070.72</v>
      </c>
    </row>
    <row r="354" spans="1:7" x14ac:dyDescent="0.25">
      <c r="A354" t="s">
        <v>700</v>
      </c>
      <c r="B354" t="s">
        <v>632</v>
      </c>
      <c r="C354" t="s">
        <v>271</v>
      </c>
      <c r="D354" s="85">
        <v>0</v>
      </c>
      <c r="E354" s="85">
        <v>0</v>
      </c>
      <c r="F354" s="85">
        <v>0</v>
      </c>
      <c r="G354" s="85">
        <v>0</v>
      </c>
    </row>
    <row r="355" spans="1:7" x14ac:dyDescent="0.25">
      <c r="A355" t="s">
        <v>701</v>
      </c>
      <c r="B355" t="s">
        <v>586</v>
      </c>
      <c r="C355" t="s">
        <v>271</v>
      </c>
      <c r="D355" s="85">
        <v>0</v>
      </c>
      <c r="E355" s="85">
        <v>0</v>
      </c>
      <c r="F355" s="85">
        <v>0</v>
      </c>
      <c r="G355" s="85">
        <v>0</v>
      </c>
    </row>
    <row r="356" spans="1:7" x14ac:dyDescent="0.25">
      <c r="A356" t="s">
        <v>702</v>
      </c>
      <c r="B356" t="s">
        <v>632</v>
      </c>
      <c r="C356" t="s">
        <v>283</v>
      </c>
      <c r="D356" s="85">
        <v>530</v>
      </c>
      <c r="E356" s="85">
        <v>0</v>
      </c>
      <c r="F356" s="85">
        <v>0</v>
      </c>
      <c r="G356" s="85">
        <v>530</v>
      </c>
    </row>
    <row r="357" spans="1:7" x14ac:dyDescent="0.25">
      <c r="A357" t="s">
        <v>703</v>
      </c>
      <c r="B357" t="s">
        <v>704</v>
      </c>
      <c r="C357" t="s">
        <v>283</v>
      </c>
      <c r="D357" s="85">
        <v>-530</v>
      </c>
      <c r="E357" s="85">
        <v>0</v>
      </c>
      <c r="F357" s="85">
        <v>0</v>
      </c>
      <c r="G357" s="85">
        <v>-530</v>
      </c>
    </row>
    <row r="358" spans="1:7" x14ac:dyDescent="0.25">
      <c r="A358" t="s">
        <v>705</v>
      </c>
      <c r="B358" t="s">
        <v>706</v>
      </c>
      <c r="C358" t="s">
        <v>271</v>
      </c>
      <c r="D358" s="85">
        <v>0</v>
      </c>
      <c r="E358" s="85">
        <v>0</v>
      </c>
      <c r="F358" s="85">
        <v>0</v>
      </c>
      <c r="G358" s="85">
        <v>0</v>
      </c>
    </row>
    <row r="359" spans="1:7" x14ac:dyDescent="0.25">
      <c r="A359" t="s">
        <v>707</v>
      </c>
      <c r="B359" t="s">
        <v>632</v>
      </c>
      <c r="C359" t="s">
        <v>283</v>
      </c>
      <c r="D359" s="85">
        <v>15700.98</v>
      </c>
      <c r="E359" s="85">
        <v>0</v>
      </c>
      <c r="F359" s="85">
        <v>0</v>
      </c>
      <c r="G359" s="85">
        <v>15700.98</v>
      </c>
    </row>
    <row r="360" spans="1:7" x14ac:dyDescent="0.25">
      <c r="A360" t="s">
        <v>708</v>
      </c>
      <c r="B360" t="s">
        <v>709</v>
      </c>
      <c r="C360" t="s">
        <v>283</v>
      </c>
      <c r="D360" s="85">
        <v>-15700.98</v>
      </c>
      <c r="E360" s="85">
        <v>0</v>
      </c>
      <c r="F360" s="85">
        <v>0</v>
      </c>
      <c r="G360" s="85">
        <v>-15700.98</v>
      </c>
    </row>
    <row r="361" spans="1:7" x14ac:dyDescent="0.25">
      <c r="A361" t="s">
        <v>2211</v>
      </c>
      <c r="B361" t="s">
        <v>2212</v>
      </c>
      <c r="C361" t="s">
        <v>271</v>
      </c>
      <c r="D361" s="85">
        <v>596057.9</v>
      </c>
      <c r="E361" s="85">
        <v>199650.41</v>
      </c>
      <c r="F361" s="85">
        <v>0</v>
      </c>
      <c r="G361" s="85">
        <v>795708.31</v>
      </c>
    </row>
    <row r="362" spans="1:7" x14ac:dyDescent="0.25">
      <c r="A362" t="s">
        <v>2213</v>
      </c>
      <c r="B362" t="s">
        <v>302</v>
      </c>
      <c r="C362" t="s">
        <v>271</v>
      </c>
      <c r="D362" s="85">
        <v>596057.9</v>
      </c>
      <c r="E362" s="85">
        <v>199650.41</v>
      </c>
      <c r="F362" s="85">
        <v>0</v>
      </c>
      <c r="G362" s="85">
        <v>795708.31</v>
      </c>
    </row>
    <row r="363" spans="1:7" x14ac:dyDescent="0.25">
      <c r="A363" t="s">
        <v>2214</v>
      </c>
      <c r="B363" t="s">
        <v>2215</v>
      </c>
      <c r="C363" t="s">
        <v>283</v>
      </c>
      <c r="D363" s="85">
        <v>596057.9</v>
      </c>
      <c r="E363" s="85">
        <v>199650.41</v>
      </c>
      <c r="F363" s="85">
        <v>0</v>
      </c>
      <c r="G363" s="85">
        <v>795708.31</v>
      </c>
    </row>
    <row r="364" spans="1:7" x14ac:dyDescent="0.25">
      <c r="A364" t="s">
        <v>710</v>
      </c>
      <c r="B364" t="s">
        <v>711</v>
      </c>
      <c r="C364" t="s">
        <v>271</v>
      </c>
      <c r="D364" s="85">
        <v>3632484.67</v>
      </c>
      <c r="E364" s="85">
        <v>268.62</v>
      </c>
      <c r="F364" s="85">
        <v>0</v>
      </c>
      <c r="G364" s="85">
        <v>3632753.29</v>
      </c>
    </row>
    <row r="365" spans="1:7" x14ac:dyDescent="0.25">
      <c r="A365" t="s">
        <v>712</v>
      </c>
      <c r="B365" t="s">
        <v>713</v>
      </c>
      <c r="C365" t="s">
        <v>271</v>
      </c>
      <c r="D365" s="85">
        <v>3410606.58</v>
      </c>
      <c r="E365" s="85">
        <v>268.62</v>
      </c>
      <c r="F365" s="85">
        <v>0</v>
      </c>
      <c r="G365" s="85">
        <v>3410875.2</v>
      </c>
    </row>
    <row r="366" spans="1:7" x14ac:dyDescent="0.25">
      <c r="A366" t="s">
        <v>714</v>
      </c>
      <c r="B366" t="s">
        <v>715</v>
      </c>
      <c r="C366" t="s">
        <v>283</v>
      </c>
      <c r="D366" s="85">
        <v>318146.39</v>
      </c>
      <c r="E366" s="85">
        <v>0</v>
      </c>
      <c r="F366" s="85">
        <v>0</v>
      </c>
      <c r="G366" s="85">
        <v>318146.39</v>
      </c>
    </row>
    <row r="367" spans="1:7" x14ac:dyDescent="0.25">
      <c r="A367" t="s">
        <v>716</v>
      </c>
      <c r="B367" t="s">
        <v>717</v>
      </c>
      <c r="C367" t="s">
        <v>283</v>
      </c>
      <c r="D367" s="85">
        <v>848745.84</v>
      </c>
      <c r="E367" s="85">
        <v>0</v>
      </c>
      <c r="F367" s="85">
        <v>0</v>
      </c>
      <c r="G367" s="85">
        <v>848745.84</v>
      </c>
    </row>
    <row r="368" spans="1:7" x14ac:dyDescent="0.25">
      <c r="A368" t="s">
        <v>718</v>
      </c>
      <c r="B368" t="s">
        <v>719</v>
      </c>
      <c r="C368" t="s">
        <v>283</v>
      </c>
      <c r="D368" s="85">
        <v>1597548.81</v>
      </c>
      <c r="E368" s="85">
        <v>268.62</v>
      </c>
      <c r="F368" s="85">
        <v>0</v>
      </c>
      <c r="G368" s="85">
        <v>1597817.43</v>
      </c>
    </row>
    <row r="369" spans="1:7" x14ac:dyDescent="0.25">
      <c r="A369" t="s">
        <v>720</v>
      </c>
      <c r="B369" t="s">
        <v>721</v>
      </c>
      <c r="C369" t="s">
        <v>283</v>
      </c>
      <c r="D369" s="85">
        <v>347406.46</v>
      </c>
      <c r="E369" s="85">
        <v>0</v>
      </c>
      <c r="F369" s="85">
        <v>0</v>
      </c>
      <c r="G369" s="85">
        <v>347406.46</v>
      </c>
    </row>
    <row r="370" spans="1:7" x14ac:dyDescent="0.25">
      <c r="A370" t="s">
        <v>722</v>
      </c>
      <c r="B370" t="s">
        <v>723</v>
      </c>
      <c r="C370" t="s">
        <v>283</v>
      </c>
      <c r="D370" s="85">
        <v>92765.36</v>
      </c>
      <c r="E370" s="85">
        <v>0</v>
      </c>
      <c r="F370" s="85">
        <v>0</v>
      </c>
      <c r="G370" s="85">
        <v>92765.36</v>
      </c>
    </row>
    <row r="371" spans="1:7" x14ac:dyDescent="0.25">
      <c r="A371" t="s">
        <v>724</v>
      </c>
      <c r="B371" t="s">
        <v>725</v>
      </c>
      <c r="C371" t="s">
        <v>283</v>
      </c>
      <c r="D371" s="85">
        <v>205993.72</v>
      </c>
      <c r="E371" s="85">
        <v>0</v>
      </c>
      <c r="F371" s="85">
        <v>0</v>
      </c>
      <c r="G371" s="85">
        <v>205993.72</v>
      </c>
    </row>
    <row r="372" spans="1:7" x14ac:dyDescent="0.25">
      <c r="A372" t="s">
        <v>726</v>
      </c>
      <c r="B372" t="s">
        <v>727</v>
      </c>
      <c r="C372" t="s">
        <v>271</v>
      </c>
      <c r="D372" s="85">
        <v>43406.33</v>
      </c>
      <c r="E372" s="85">
        <v>0</v>
      </c>
      <c r="F372" s="85">
        <v>0</v>
      </c>
      <c r="G372" s="85">
        <v>43406.33</v>
      </c>
    </row>
    <row r="373" spans="1:7" x14ac:dyDescent="0.25">
      <c r="A373" t="s">
        <v>728</v>
      </c>
      <c r="B373" t="s">
        <v>729</v>
      </c>
      <c r="C373" t="s">
        <v>283</v>
      </c>
      <c r="D373" s="85">
        <v>43406.33</v>
      </c>
      <c r="E373" s="85">
        <v>0</v>
      </c>
      <c r="F373" s="85">
        <v>0</v>
      </c>
      <c r="G373" s="85">
        <v>43406.33</v>
      </c>
    </row>
    <row r="374" spans="1:7" x14ac:dyDescent="0.25">
      <c r="A374" t="s">
        <v>730</v>
      </c>
      <c r="B374" t="s">
        <v>731</v>
      </c>
      <c r="C374" t="s">
        <v>271</v>
      </c>
      <c r="D374" s="85">
        <v>178471.76</v>
      </c>
      <c r="E374" s="85">
        <v>0</v>
      </c>
      <c r="F374" s="85">
        <v>0</v>
      </c>
      <c r="G374" s="85">
        <v>178471.76</v>
      </c>
    </row>
    <row r="375" spans="1:7" x14ac:dyDescent="0.25">
      <c r="A375" t="s">
        <v>732</v>
      </c>
      <c r="B375" t="s">
        <v>733</v>
      </c>
      <c r="C375" t="s">
        <v>283</v>
      </c>
      <c r="D375" s="85">
        <v>153471.76</v>
      </c>
      <c r="E375" s="85">
        <v>0</v>
      </c>
      <c r="F375" s="85">
        <v>0</v>
      </c>
      <c r="G375" s="85">
        <v>153471.76</v>
      </c>
    </row>
    <row r="376" spans="1:7" x14ac:dyDescent="0.25">
      <c r="A376" t="s">
        <v>2824</v>
      </c>
      <c r="B376" t="s">
        <v>2825</v>
      </c>
      <c r="C376" t="s">
        <v>283</v>
      </c>
      <c r="D376" s="85">
        <v>25000</v>
      </c>
      <c r="E376" s="85">
        <v>0</v>
      </c>
      <c r="F376" s="85">
        <v>0</v>
      </c>
      <c r="G376" s="85">
        <v>25000</v>
      </c>
    </row>
    <row r="377" spans="1:7" x14ac:dyDescent="0.25">
      <c r="A377" t="s">
        <v>734</v>
      </c>
      <c r="B377" t="s">
        <v>735</v>
      </c>
      <c r="C377" t="s">
        <v>271</v>
      </c>
      <c r="D377" s="85">
        <v>164961.51999999999</v>
      </c>
      <c r="E377" s="85">
        <v>0</v>
      </c>
      <c r="F377" s="85">
        <v>484.52</v>
      </c>
      <c r="G377" s="85">
        <v>164477</v>
      </c>
    </row>
    <row r="378" spans="1:7" x14ac:dyDescent="0.25">
      <c r="A378" t="s">
        <v>736</v>
      </c>
      <c r="B378" t="s">
        <v>737</v>
      </c>
      <c r="C378" t="s">
        <v>271</v>
      </c>
      <c r="D378" s="85">
        <v>164961.51999999999</v>
      </c>
      <c r="E378" s="85">
        <v>0</v>
      </c>
      <c r="F378" s="85">
        <v>484.52</v>
      </c>
      <c r="G378" s="85">
        <v>164477</v>
      </c>
    </row>
    <row r="379" spans="1:7" x14ac:dyDescent="0.25">
      <c r="A379" t="s">
        <v>738</v>
      </c>
      <c r="B379" t="s">
        <v>739</v>
      </c>
      <c r="C379" t="s">
        <v>283</v>
      </c>
      <c r="D379" s="85">
        <v>164961.51999999999</v>
      </c>
      <c r="E379" s="85">
        <v>0</v>
      </c>
      <c r="F379" s="85">
        <v>484.52</v>
      </c>
      <c r="G379" s="85">
        <v>164477</v>
      </c>
    </row>
    <row r="380" spans="1:7" x14ac:dyDescent="0.25">
      <c r="A380" t="s">
        <v>740</v>
      </c>
      <c r="B380" t="s">
        <v>741</v>
      </c>
      <c r="C380" t="s">
        <v>271</v>
      </c>
      <c r="D380" s="85">
        <v>1085424.51</v>
      </c>
      <c r="E380" s="85">
        <v>0</v>
      </c>
      <c r="F380" s="85">
        <v>0</v>
      </c>
      <c r="G380" s="85">
        <v>1085424.51</v>
      </c>
    </row>
    <row r="381" spans="1:7" x14ac:dyDescent="0.25">
      <c r="A381" t="s">
        <v>742</v>
      </c>
      <c r="B381" t="s">
        <v>616</v>
      </c>
      <c r="C381" t="s">
        <v>271</v>
      </c>
      <c r="D381" s="85">
        <v>1085424.51</v>
      </c>
      <c r="E381" s="85">
        <v>0</v>
      </c>
      <c r="F381" s="85">
        <v>0</v>
      </c>
      <c r="G381" s="85">
        <v>1085424.51</v>
      </c>
    </row>
    <row r="382" spans="1:7" x14ac:dyDescent="0.25">
      <c r="A382" t="s">
        <v>743</v>
      </c>
      <c r="B382" t="s">
        <v>302</v>
      </c>
      <c r="C382" t="s">
        <v>271</v>
      </c>
      <c r="D382" s="85">
        <v>1085424.51</v>
      </c>
      <c r="E382" s="85">
        <v>0</v>
      </c>
      <c r="F382" s="85">
        <v>0</v>
      </c>
      <c r="G382" s="85">
        <v>1085424.51</v>
      </c>
    </row>
    <row r="383" spans="1:7" x14ac:dyDescent="0.25">
      <c r="A383" t="s">
        <v>744</v>
      </c>
      <c r="B383" t="s">
        <v>616</v>
      </c>
      <c r="C383" t="s">
        <v>283</v>
      </c>
      <c r="D383" s="85">
        <v>1085424.51</v>
      </c>
      <c r="E383" s="85">
        <v>0</v>
      </c>
      <c r="F383" s="85">
        <v>0</v>
      </c>
      <c r="G383" s="85">
        <v>1085424.51</v>
      </c>
    </row>
    <row r="384" spans="1:7" x14ac:dyDescent="0.25">
      <c r="A384" t="s">
        <v>745</v>
      </c>
      <c r="B384" t="s">
        <v>746</v>
      </c>
      <c r="C384" t="s">
        <v>271</v>
      </c>
      <c r="D384" s="85">
        <v>-408642.2</v>
      </c>
      <c r="E384" s="85">
        <v>0</v>
      </c>
      <c r="F384" s="85">
        <v>3161.23</v>
      </c>
      <c r="G384" s="85">
        <v>-411803.43</v>
      </c>
    </row>
    <row r="385" spans="1:7" x14ac:dyDescent="0.25">
      <c r="A385" t="s">
        <v>747</v>
      </c>
      <c r="B385" t="s">
        <v>616</v>
      </c>
      <c r="C385" t="s">
        <v>271</v>
      </c>
      <c r="D385" s="85">
        <v>-408642.2</v>
      </c>
      <c r="E385" s="85">
        <v>0</v>
      </c>
      <c r="F385" s="85">
        <v>3161.23</v>
      </c>
      <c r="G385" s="85">
        <v>-411803.43</v>
      </c>
    </row>
    <row r="386" spans="1:7" x14ac:dyDescent="0.25">
      <c r="A386" t="s">
        <v>748</v>
      </c>
      <c r="B386" t="s">
        <v>302</v>
      </c>
      <c r="C386" t="s">
        <v>271</v>
      </c>
      <c r="D386" s="85">
        <v>-408642.2</v>
      </c>
      <c r="E386" s="85">
        <v>0</v>
      </c>
      <c r="F386" s="85">
        <v>3161.23</v>
      </c>
      <c r="G386" s="85">
        <v>-411803.43</v>
      </c>
    </row>
    <row r="387" spans="1:7" x14ac:dyDescent="0.25">
      <c r="A387" t="s">
        <v>749</v>
      </c>
      <c r="B387" t="s">
        <v>616</v>
      </c>
      <c r="C387" t="s">
        <v>283</v>
      </c>
      <c r="D387" s="85">
        <v>-408642.2</v>
      </c>
      <c r="E387" s="85">
        <v>0</v>
      </c>
      <c r="F387" s="85">
        <v>3161.23</v>
      </c>
      <c r="G387" s="85">
        <v>-411803.43</v>
      </c>
    </row>
    <row r="388" spans="1:7" x14ac:dyDescent="0.25">
      <c r="A388" t="s">
        <v>750</v>
      </c>
      <c r="B388" t="s">
        <v>751</v>
      </c>
      <c r="C388" t="s">
        <v>271</v>
      </c>
      <c r="D388" s="85">
        <v>-31634243.379999999</v>
      </c>
      <c r="E388" s="85">
        <v>0</v>
      </c>
      <c r="F388" s="85">
        <v>0</v>
      </c>
      <c r="G388" s="85">
        <v>-31634243.379999999</v>
      </c>
    </row>
    <row r="389" spans="1:7" x14ac:dyDescent="0.25">
      <c r="A389" t="s">
        <v>752</v>
      </c>
      <c r="B389" t="s">
        <v>753</v>
      </c>
      <c r="C389" t="s">
        <v>271</v>
      </c>
      <c r="D389" s="85">
        <v>-186719.55</v>
      </c>
      <c r="E389" s="85">
        <v>0</v>
      </c>
      <c r="F389" s="85">
        <v>0</v>
      </c>
      <c r="G389" s="85">
        <v>-186719.55</v>
      </c>
    </row>
    <row r="390" spans="1:7" x14ac:dyDescent="0.25">
      <c r="A390" t="s">
        <v>754</v>
      </c>
      <c r="B390" t="s">
        <v>591</v>
      </c>
      <c r="C390" t="s">
        <v>271</v>
      </c>
      <c r="D390" s="85">
        <v>-186719.55</v>
      </c>
      <c r="E390" s="85">
        <v>0</v>
      </c>
      <c r="F390" s="85">
        <v>0</v>
      </c>
      <c r="G390" s="85">
        <v>-186719.55</v>
      </c>
    </row>
    <row r="391" spans="1:7" x14ac:dyDescent="0.25">
      <c r="A391" t="s">
        <v>755</v>
      </c>
      <c r="B391" t="s">
        <v>756</v>
      </c>
      <c r="C391" t="s">
        <v>283</v>
      </c>
      <c r="D391" s="85">
        <v>-186719.55</v>
      </c>
      <c r="E391" s="85">
        <v>0</v>
      </c>
      <c r="F391" s="85">
        <v>0</v>
      </c>
      <c r="G391" s="85">
        <v>-186719.55</v>
      </c>
    </row>
    <row r="392" spans="1:7" x14ac:dyDescent="0.25">
      <c r="A392" t="s">
        <v>757</v>
      </c>
      <c r="B392" t="s">
        <v>758</v>
      </c>
      <c r="C392" t="s">
        <v>271</v>
      </c>
      <c r="D392" s="85">
        <v>-16313055.550000001</v>
      </c>
      <c r="E392" s="85">
        <v>0</v>
      </c>
      <c r="F392" s="85">
        <v>0</v>
      </c>
      <c r="G392" s="85">
        <v>-16313055.550000001</v>
      </c>
    </row>
    <row r="393" spans="1:7" x14ac:dyDescent="0.25">
      <c r="A393" t="s">
        <v>759</v>
      </c>
      <c r="B393" t="s">
        <v>591</v>
      </c>
      <c r="C393" t="s">
        <v>271</v>
      </c>
      <c r="D393" s="85">
        <v>-16313055.550000001</v>
      </c>
      <c r="E393" s="85">
        <v>0</v>
      </c>
      <c r="F393" s="85">
        <v>0</v>
      </c>
      <c r="G393" s="85">
        <v>-16313055.550000001</v>
      </c>
    </row>
    <row r="394" spans="1:7" x14ac:dyDescent="0.25">
      <c r="A394" t="s">
        <v>760</v>
      </c>
      <c r="B394" t="s">
        <v>761</v>
      </c>
      <c r="C394" t="s">
        <v>283</v>
      </c>
      <c r="D394" s="85">
        <v>-16313055.550000001</v>
      </c>
      <c r="E394" s="85">
        <v>0</v>
      </c>
      <c r="F394" s="85">
        <v>0</v>
      </c>
      <c r="G394" s="85">
        <v>-16313055.550000001</v>
      </c>
    </row>
    <row r="395" spans="1:7" x14ac:dyDescent="0.25">
      <c r="A395" t="s">
        <v>762</v>
      </c>
      <c r="B395" t="s">
        <v>763</v>
      </c>
      <c r="C395" t="s">
        <v>271</v>
      </c>
      <c r="D395" s="85">
        <v>-2829503.15</v>
      </c>
      <c r="E395" s="85">
        <v>0</v>
      </c>
      <c r="F395" s="85">
        <v>0</v>
      </c>
      <c r="G395" s="85">
        <v>-2829503.15</v>
      </c>
    </row>
    <row r="396" spans="1:7" x14ac:dyDescent="0.25">
      <c r="A396" t="s">
        <v>764</v>
      </c>
      <c r="B396" t="s">
        <v>591</v>
      </c>
      <c r="C396" t="s">
        <v>271</v>
      </c>
      <c r="D396" s="85">
        <v>-2829503.15</v>
      </c>
      <c r="E396" s="85">
        <v>0</v>
      </c>
      <c r="F396" s="85">
        <v>0</v>
      </c>
      <c r="G396" s="85">
        <v>-2829503.15</v>
      </c>
    </row>
    <row r="397" spans="1:7" x14ac:dyDescent="0.25">
      <c r="A397" t="s">
        <v>765</v>
      </c>
      <c r="B397" t="s">
        <v>766</v>
      </c>
      <c r="C397" t="s">
        <v>283</v>
      </c>
      <c r="D397" s="85">
        <v>-2829503.15</v>
      </c>
      <c r="E397" s="85">
        <v>0</v>
      </c>
      <c r="F397" s="85">
        <v>0</v>
      </c>
      <c r="G397" s="85">
        <v>-2829503.15</v>
      </c>
    </row>
    <row r="398" spans="1:7" x14ac:dyDescent="0.25">
      <c r="A398" t="s">
        <v>767</v>
      </c>
      <c r="B398" t="s">
        <v>768</v>
      </c>
      <c r="C398" t="s">
        <v>271</v>
      </c>
      <c r="D398" s="85">
        <v>-12299924.35</v>
      </c>
      <c r="E398" s="85">
        <v>0</v>
      </c>
      <c r="F398" s="85">
        <v>0</v>
      </c>
      <c r="G398" s="85">
        <v>-12299924.35</v>
      </c>
    </row>
    <row r="399" spans="1:7" x14ac:dyDescent="0.25">
      <c r="A399" t="s">
        <v>769</v>
      </c>
      <c r="B399" t="s">
        <v>591</v>
      </c>
      <c r="C399" t="s">
        <v>271</v>
      </c>
      <c r="D399" s="85">
        <v>-12299924.35</v>
      </c>
      <c r="E399" s="85">
        <v>0</v>
      </c>
      <c r="F399" s="85">
        <v>0</v>
      </c>
      <c r="G399" s="85">
        <v>-12299924.35</v>
      </c>
    </row>
    <row r="400" spans="1:7" x14ac:dyDescent="0.25">
      <c r="A400" t="s">
        <v>770</v>
      </c>
      <c r="B400" t="s">
        <v>768</v>
      </c>
      <c r="C400" t="s">
        <v>283</v>
      </c>
      <c r="D400" s="85">
        <v>-12299924.35</v>
      </c>
      <c r="E400" s="85">
        <v>0</v>
      </c>
      <c r="F400" s="85">
        <v>0</v>
      </c>
      <c r="G400" s="85">
        <v>-12299924.35</v>
      </c>
    </row>
    <row r="401" spans="1:7" x14ac:dyDescent="0.25">
      <c r="A401" t="s">
        <v>771</v>
      </c>
      <c r="B401" t="s">
        <v>772</v>
      </c>
      <c r="C401" t="s">
        <v>271</v>
      </c>
      <c r="D401" s="85">
        <v>-5040.78</v>
      </c>
      <c r="E401" s="85">
        <v>0</v>
      </c>
      <c r="F401" s="85">
        <v>0</v>
      </c>
      <c r="G401" s="85">
        <v>-5040.78</v>
      </c>
    </row>
    <row r="402" spans="1:7" x14ac:dyDescent="0.25">
      <c r="A402" t="s">
        <v>773</v>
      </c>
      <c r="B402" t="s">
        <v>591</v>
      </c>
      <c r="C402" t="s">
        <v>271</v>
      </c>
      <c r="D402" s="85">
        <v>-5040.78</v>
      </c>
      <c r="E402" s="85">
        <v>0</v>
      </c>
      <c r="F402" s="85">
        <v>0</v>
      </c>
      <c r="G402" s="85">
        <v>-5040.78</v>
      </c>
    </row>
    <row r="403" spans="1:7" x14ac:dyDescent="0.25">
      <c r="A403" t="s">
        <v>774</v>
      </c>
      <c r="B403" t="s">
        <v>775</v>
      </c>
      <c r="C403" t="s">
        <v>283</v>
      </c>
      <c r="D403" s="85">
        <v>-5040.78</v>
      </c>
      <c r="E403" s="85">
        <v>0</v>
      </c>
      <c r="F403" s="85">
        <v>0</v>
      </c>
      <c r="G403" s="85">
        <v>-5040.78</v>
      </c>
    </row>
    <row r="404" spans="1:7" x14ac:dyDescent="0.25">
      <c r="A404" t="s">
        <v>776</v>
      </c>
      <c r="B404" t="s">
        <v>777</v>
      </c>
      <c r="C404" t="s">
        <v>271</v>
      </c>
      <c r="D404" s="85">
        <v>7435617.4000000004</v>
      </c>
      <c r="E404" s="85">
        <v>77542.75</v>
      </c>
      <c r="F404" s="85">
        <v>0</v>
      </c>
      <c r="G404" s="85">
        <v>7513160.1500000004</v>
      </c>
    </row>
    <row r="405" spans="1:7" x14ac:dyDescent="0.25">
      <c r="A405" t="s">
        <v>778</v>
      </c>
      <c r="B405" t="s">
        <v>595</v>
      </c>
      <c r="C405" t="s">
        <v>271</v>
      </c>
      <c r="D405" s="85">
        <v>3061219.49</v>
      </c>
      <c r="E405" s="85">
        <v>31808.69</v>
      </c>
      <c r="F405" s="85">
        <v>0</v>
      </c>
      <c r="G405" s="85">
        <v>3093028.18</v>
      </c>
    </row>
    <row r="406" spans="1:7" x14ac:dyDescent="0.25">
      <c r="A406" t="s">
        <v>779</v>
      </c>
      <c r="B406" t="s">
        <v>591</v>
      </c>
      <c r="C406" t="s">
        <v>271</v>
      </c>
      <c r="D406" s="85">
        <v>3061219.49</v>
      </c>
      <c r="E406" s="85">
        <v>31808.69</v>
      </c>
      <c r="F406" s="85">
        <v>0</v>
      </c>
      <c r="G406" s="85">
        <v>3093028.18</v>
      </c>
    </row>
    <row r="407" spans="1:7" x14ac:dyDescent="0.25">
      <c r="A407" t="s">
        <v>780</v>
      </c>
      <c r="B407" t="s">
        <v>781</v>
      </c>
      <c r="C407" t="s">
        <v>283</v>
      </c>
      <c r="D407" s="85">
        <v>3061219.49</v>
      </c>
      <c r="E407" s="85">
        <v>31808.69</v>
      </c>
      <c r="F407" s="85">
        <v>0</v>
      </c>
      <c r="G407" s="85">
        <v>3093028.18</v>
      </c>
    </row>
    <row r="408" spans="1:7" x14ac:dyDescent="0.25">
      <c r="A408" t="s">
        <v>782</v>
      </c>
      <c r="B408" t="s">
        <v>568</v>
      </c>
      <c r="C408" t="s">
        <v>271</v>
      </c>
      <c r="D408" s="85">
        <v>797553.49</v>
      </c>
      <c r="E408" s="85">
        <v>8285.5400000000009</v>
      </c>
      <c r="F408" s="85">
        <v>0</v>
      </c>
      <c r="G408" s="85">
        <v>805839.03</v>
      </c>
    </row>
    <row r="409" spans="1:7" x14ac:dyDescent="0.25">
      <c r="A409" t="s">
        <v>783</v>
      </c>
      <c r="B409" t="s">
        <v>591</v>
      </c>
      <c r="C409" t="s">
        <v>271</v>
      </c>
      <c r="D409" s="85">
        <v>797553.49</v>
      </c>
      <c r="E409" s="85">
        <v>8285.5400000000009</v>
      </c>
      <c r="F409" s="85">
        <v>0</v>
      </c>
      <c r="G409" s="85">
        <v>805839.03</v>
      </c>
    </row>
    <row r="410" spans="1:7" x14ac:dyDescent="0.25">
      <c r="A410" t="s">
        <v>784</v>
      </c>
      <c r="B410" t="s">
        <v>785</v>
      </c>
      <c r="C410" t="s">
        <v>283</v>
      </c>
      <c r="D410" s="85">
        <v>797553.49</v>
      </c>
      <c r="E410" s="85">
        <v>8285.5400000000009</v>
      </c>
      <c r="F410" s="85">
        <v>0</v>
      </c>
      <c r="G410" s="85">
        <v>805839.03</v>
      </c>
    </row>
    <row r="411" spans="1:7" x14ac:dyDescent="0.25">
      <c r="A411" t="s">
        <v>786</v>
      </c>
      <c r="B411" t="s">
        <v>616</v>
      </c>
      <c r="C411" t="s">
        <v>271</v>
      </c>
      <c r="D411" s="85">
        <v>3570160.03</v>
      </c>
      <c r="E411" s="85">
        <v>37342.89</v>
      </c>
      <c r="F411" s="85">
        <v>0</v>
      </c>
      <c r="G411" s="85">
        <v>3607502.92</v>
      </c>
    </row>
    <row r="412" spans="1:7" x14ac:dyDescent="0.25">
      <c r="A412" t="s">
        <v>787</v>
      </c>
      <c r="B412" t="s">
        <v>591</v>
      </c>
      <c r="C412" t="s">
        <v>271</v>
      </c>
      <c r="D412" s="85">
        <v>3570160.03</v>
      </c>
      <c r="E412" s="85">
        <v>37342.89</v>
      </c>
      <c r="F412" s="85">
        <v>0</v>
      </c>
      <c r="G412" s="85">
        <v>3607502.92</v>
      </c>
    </row>
    <row r="413" spans="1:7" x14ac:dyDescent="0.25">
      <c r="A413" t="s">
        <v>788</v>
      </c>
      <c r="B413" t="s">
        <v>616</v>
      </c>
      <c r="C413" t="s">
        <v>283</v>
      </c>
      <c r="D413" s="85">
        <v>3570160.03</v>
      </c>
      <c r="E413" s="85">
        <v>37342.89</v>
      </c>
      <c r="F413" s="85">
        <v>0</v>
      </c>
      <c r="G413" s="85">
        <v>3607502.92</v>
      </c>
    </row>
    <row r="414" spans="1:7" x14ac:dyDescent="0.25">
      <c r="A414" t="s">
        <v>789</v>
      </c>
      <c r="B414" t="s">
        <v>632</v>
      </c>
      <c r="C414" t="s">
        <v>271</v>
      </c>
      <c r="D414" s="85">
        <v>6684.39</v>
      </c>
      <c r="E414" s="85">
        <v>105.63</v>
      </c>
      <c r="F414" s="85">
        <v>0</v>
      </c>
      <c r="G414" s="85">
        <v>6790.02</v>
      </c>
    </row>
    <row r="415" spans="1:7" x14ac:dyDescent="0.25">
      <c r="A415" t="s">
        <v>790</v>
      </c>
      <c r="B415" t="s">
        <v>591</v>
      </c>
      <c r="C415" t="s">
        <v>271</v>
      </c>
      <c r="D415" s="85">
        <v>6684.39</v>
      </c>
      <c r="E415" s="85">
        <v>105.63</v>
      </c>
      <c r="F415" s="85">
        <v>0</v>
      </c>
      <c r="G415" s="85">
        <v>6790.02</v>
      </c>
    </row>
    <row r="416" spans="1:7" x14ac:dyDescent="0.25">
      <c r="A416" t="s">
        <v>791</v>
      </c>
      <c r="B416" t="s">
        <v>632</v>
      </c>
      <c r="C416" t="s">
        <v>283</v>
      </c>
      <c r="D416" s="85">
        <v>6684.39</v>
      </c>
      <c r="E416" s="85">
        <v>105.63</v>
      </c>
      <c r="F416" s="85">
        <v>0</v>
      </c>
      <c r="G416" s="85">
        <v>6790.02</v>
      </c>
    </row>
    <row r="417" spans="1:7" x14ac:dyDescent="0.25">
      <c r="A417" t="s">
        <v>792</v>
      </c>
      <c r="B417" t="s">
        <v>793</v>
      </c>
      <c r="C417" t="s">
        <v>271</v>
      </c>
      <c r="D417" s="85">
        <v>716821.58</v>
      </c>
      <c r="E417" s="85">
        <v>0</v>
      </c>
      <c r="F417" s="85">
        <v>7799.93</v>
      </c>
      <c r="G417" s="85">
        <v>709021.65</v>
      </c>
    </row>
    <row r="418" spans="1:7" x14ac:dyDescent="0.25">
      <c r="A418" t="s">
        <v>794</v>
      </c>
      <c r="B418" t="s">
        <v>795</v>
      </c>
      <c r="C418" t="s">
        <v>271</v>
      </c>
      <c r="D418" s="85">
        <v>1276332.3799999999</v>
      </c>
      <c r="E418" s="85">
        <v>0</v>
      </c>
      <c r="F418" s="85">
        <v>0</v>
      </c>
      <c r="G418" s="85">
        <v>1276332.3799999999</v>
      </c>
    </row>
    <row r="419" spans="1:7" x14ac:dyDescent="0.25">
      <c r="A419" t="s">
        <v>796</v>
      </c>
      <c r="B419" t="s">
        <v>616</v>
      </c>
      <c r="C419" t="s">
        <v>271</v>
      </c>
      <c r="D419" s="85">
        <v>713627.82</v>
      </c>
      <c r="E419" s="85">
        <v>0</v>
      </c>
      <c r="F419" s="85">
        <v>0</v>
      </c>
      <c r="G419" s="85">
        <v>713627.82</v>
      </c>
    </row>
    <row r="420" spans="1:7" x14ac:dyDescent="0.25">
      <c r="A420" t="s">
        <v>797</v>
      </c>
      <c r="B420" t="s">
        <v>335</v>
      </c>
      <c r="C420" t="s">
        <v>271</v>
      </c>
      <c r="D420" s="85">
        <v>713627.82</v>
      </c>
      <c r="E420" s="85">
        <v>0</v>
      </c>
      <c r="F420" s="85">
        <v>0</v>
      </c>
      <c r="G420" s="85">
        <v>713627.82</v>
      </c>
    </row>
    <row r="421" spans="1:7" x14ac:dyDescent="0.25">
      <c r="A421" t="s">
        <v>798</v>
      </c>
      <c r="B421" t="s">
        <v>616</v>
      </c>
      <c r="C421" t="s">
        <v>283</v>
      </c>
      <c r="D421" s="85">
        <v>310528.53999999998</v>
      </c>
      <c r="E421" s="85">
        <v>0</v>
      </c>
      <c r="F421" s="85">
        <v>0</v>
      </c>
      <c r="G421" s="85">
        <v>310528.53999999998</v>
      </c>
    </row>
    <row r="422" spans="1:7" x14ac:dyDescent="0.25">
      <c r="A422" t="s">
        <v>799</v>
      </c>
      <c r="B422" t="s">
        <v>800</v>
      </c>
      <c r="C422" t="s">
        <v>283</v>
      </c>
      <c r="D422" s="85">
        <v>344501.54</v>
      </c>
      <c r="E422" s="85">
        <v>0</v>
      </c>
      <c r="F422" s="85">
        <v>0</v>
      </c>
      <c r="G422" s="85">
        <v>344501.54</v>
      </c>
    </row>
    <row r="423" spans="1:7" x14ac:dyDescent="0.25">
      <c r="A423" t="s">
        <v>801</v>
      </c>
      <c r="B423" t="s">
        <v>802</v>
      </c>
      <c r="C423" t="s">
        <v>283</v>
      </c>
      <c r="D423" s="85">
        <v>7698.77</v>
      </c>
      <c r="E423" s="85">
        <v>0</v>
      </c>
      <c r="F423" s="85">
        <v>0</v>
      </c>
      <c r="G423" s="85">
        <v>7698.77</v>
      </c>
    </row>
    <row r="424" spans="1:7" x14ac:dyDescent="0.25">
      <c r="A424" t="s">
        <v>803</v>
      </c>
      <c r="B424" t="s">
        <v>804</v>
      </c>
      <c r="C424" t="s">
        <v>283</v>
      </c>
      <c r="D424" s="85">
        <v>8890</v>
      </c>
      <c r="E424" s="85">
        <v>0</v>
      </c>
      <c r="F424" s="85">
        <v>0</v>
      </c>
      <c r="G424" s="85">
        <v>8890</v>
      </c>
    </row>
    <row r="425" spans="1:7" x14ac:dyDescent="0.25">
      <c r="A425" t="s">
        <v>805</v>
      </c>
      <c r="B425" t="s">
        <v>806</v>
      </c>
      <c r="C425" t="s">
        <v>283</v>
      </c>
      <c r="D425" s="85">
        <v>17904.98</v>
      </c>
      <c r="E425" s="85">
        <v>0</v>
      </c>
      <c r="F425" s="85">
        <v>0</v>
      </c>
      <c r="G425" s="85">
        <v>17904.98</v>
      </c>
    </row>
    <row r="426" spans="1:7" x14ac:dyDescent="0.25">
      <c r="A426" t="s">
        <v>2431</v>
      </c>
      <c r="B426" t="s">
        <v>2432</v>
      </c>
      <c r="C426" t="s">
        <v>283</v>
      </c>
      <c r="D426" s="85">
        <v>24103.99</v>
      </c>
      <c r="E426" s="85">
        <v>0</v>
      </c>
      <c r="F426" s="85">
        <v>0</v>
      </c>
      <c r="G426" s="85">
        <v>24103.99</v>
      </c>
    </row>
    <row r="427" spans="1:7" x14ac:dyDescent="0.25">
      <c r="A427" t="s">
        <v>807</v>
      </c>
      <c r="B427" t="s">
        <v>626</v>
      </c>
      <c r="C427" t="s">
        <v>271</v>
      </c>
      <c r="D427" s="85">
        <v>322895.78000000003</v>
      </c>
      <c r="E427" s="85">
        <v>0</v>
      </c>
      <c r="F427" s="85">
        <v>0</v>
      </c>
      <c r="G427" s="85">
        <v>322895.78000000003</v>
      </c>
    </row>
    <row r="428" spans="1:7" x14ac:dyDescent="0.25">
      <c r="A428" t="s">
        <v>808</v>
      </c>
      <c r="B428" t="s">
        <v>335</v>
      </c>
      <c r="C428" t="s">
        <v>271</v>
      </c>
      <c r="D428" s="85">
        <v>322895.78000000003</v>
      </c>
      <c r="E428" s="85">
        <v>0</v>
      </c>
      <c r="F428" s="85">
        <v>0</v>
      </c>
      <c r="G428" s="85">
        <v>322895.78000000003</v>
      </c>
    </row>
    <row r="429" spans="1:7" x14ac:dyDescent="0.25">
      <c r="A429" t="s">
        <v>809</v>
      </c>
      <c r="B429" t="s">
        <v>626</v>
      </c>
      <c r="C429" t="s">
        <v>283</v>
      </c>
      <c r="D429" s="85">
        <v>162113.56</v>
      </c>
      <c r="E429" s="85">
        <v>0</v>
      </c>
      <c r="F429" s="85">
        <v>0</v>
      </c>
      <c r="G429" s="85">
        <v>162113.56</v>
      </c>
    </row>
    <row r="430" spans="1:7" x14ac:dyDescent="0.25">
      <c r="A430" t="s">
        <v>2433</v>
      </c>
      <c r="B430" t="s">
        <v>2434</v>
      </c>
      <c r="C430" t="s">
        <v>283</v>
      </c>
      <c r="D430" s="85">
        <v>160782.22</v>
      </c>
      <c r="E430" s="85">
        <v>0</v>
      </c>
      <c r="F430" s="85">
        <v>0</v>
      </c>
      <c r="G430" s="85">
        <v>160782.22</v>
      </c>
    </row>
    <row r="431" spans="1:7" x14ac:dyDescent="0.25">
      <c r="A431" t="s">
        <v>810</v>
      </c>
      <c r="B431" t="s">
        <v>632</v>
      </c>
      <c r="C431" t="s">
        <v>271</v>
      </c>
      <c r="D431" s="85">
        <v>239808.78</v>
      </c>
      <c r="E431" s="85">
        <v>0</v>
      </c>
      <c r="F431" s="85">
        <v>0</v>
      </c>
      <c r="G431" s="85">
        <v>239808.78</v>
      </c>
    </row>
    <row r="432" spans="1:7" x14ac:dyDescent="0.25">
      <c r="A432" t="s">
        <v>811</v>
      </c>
      <c r="B432" t="s">
        <v>335</v>
      </c>
      <c r="C432" t="s">
        <v>271</v>
      </c>
      <c r="D432" s="85">
        <v>239808.78</v>
      </c>
      <c r="E432" s="85">
        <v>0</v>
      </c>
      <c r="F432" s="85">
        <v>0</v>
      </c>
      <c r="G432" s="85">
        <v>239808.78</v>
      </c>
    </row>
    <row r="433" spans="1:7" x14ac:dyDescent="0.25">
      <c r="A433" t="s">
        <v>812</v>
      </c>
      <c r="B433" t="s">
        <v>632</v>
      </c>
      <c r="C433" t="s">
        <v>283</v>
      </c>
      <c r="D433" s="85">
        <v>239808.78</v>
      </c>
      <c r="E433" s="85">
        <v>0</v>
      </c>
      <c r="F433" s="85">
        <v>0</v>
      </c>
      <c r="G433" s="85">
        <v>239808.78</v>
      </c>
    </row>
    <row r="434" spans="1:7" x14ac:dyDescent="0.25">
      <c r="A434" t="s">
        <v>813</v>
      </c>
      <c r="B434" t="s">
        <v>814</v>
      </c>
      <c r="C434" t="s">
        <v>271</v>
      </c>
      <c r="D434" s="85">
        <v>-833140.8</v>
      </c>
      <c r="E434" s="85">
        <v>0</v>
      </c>
      <c r="F434" s="85">
        <v>7799.93</v>
      </c>
      <c r="G434" s="85">
        <v>-840940.73</v>
      </c>
    </row>
    <row r="435" spans="1:7" x14ac:dyDescent="0.25">
      <c r="A435" t="s">
        <v>815</v>
      </c>
      <c r="B435" t="s">
        <v>616</v>
      </c>
      <c r="C435" t="s">
        <v>271</v>
      </c>
      <c r="D435" s="85">
        <v>-463086.99</v>
      </c>
      <c r="E435" s="85">
        <v>0</v>
      </c>
      <c r="F435" s="85">
        <v>4051.24</v>
      </c>
      <c r="G435" s="85">
        <v>-467138.23</v>
      </c>
    </row>
    <row r="436" spans="1:7" x14ac:dyDescent="0.25">
      <c r="A436" t="s">
        <v>816</v>
      </c>
      <c r="B436" t="s">
        <v>335</v>
      </c>
      <c r="C436" t="s">
        <v>271</v>
      </c>
      <c r="D436" s="85">
        <v>-463086.99</v>
      </c>
      <c r="E436" s="85">
        <v>0</v>
      </c>
      <c r="F436" s="85">
        <v>4051.24</v>
      </c>
      <c r="G436" s="85">
        <v>-467138.23</v>
      </c>
    </row>
    <row r="437" spans="1:7" x14ac:dyDescent="0.25">
      <c r="A437" t="s">
        <v>817</v>
      </c>
      <c r="B437" t="s">
        <v>616</v>
      </c>
      <c r="C437" t="s">
        <v>283</v>
      </c>
      <c r="D437" s="85">
        <v>-98430.67</v>
      </c>
      <c r="E437" s="85">
        <v>0</v>
      </c>
      <c r="F437" s="85">
        <v>3575.53</v>
      </c>
      <c r="G437" s="85">
        <v>-102006.2</v>
      </c>
    </row>
    <row r="438" spans="1:7" x14ac:dyDescent="0.25">
      <c r="A438" t="s">
        <v>818</v>
      </c>
      <c r="B438" t="s">
        <v>800</v>
      </c>
      <c r="C438" t="s">
        <v>283</v>
      </c>
      <c r="D438" s="85">
        <v>-335353.18</v>
      </c>
      <c r="E438" s="85">
        <v>0</v>
      </c>
      <c r="F438" s="85">
        <v>290.48</v>
      </c>
      <c r="G438" s="85">
        <v>-335643.66</v>
      </c>
    </row>
    <row r="439" spans="1:7" x14ac:dyDescent="0.25">
      <c r="A439" t="s">
        <v>819</v>
      </c>
      <c r="B439" t="s">
        <v>802</v>
      </c>
      <c r="C439" t="s">
        <v>283</v>
      </c>
      <c r="D439" s="85">
        <v>-7698.77</v>
      </c>
      <c r="E439" s="85">
        <v>0</v>
      </c>
      <c r="F439" s="85">
        <v>0</v>
      </c>
      <c r="G439" s="85">
        <v>-7698.77</v>
      </c>
    </row>
    <row r="440" spans="1:7" x14ac:dyDescent="0.25">
      <c r="A440" t="s">
        <v>820</v>
      </c>
      <c r="B440" t="s">
        <v>804</v>
      </c>
      <c r="C440" t="s">
        <v>283</v>
      </c>
      <c r="D440" s="85">
        <v>-8890</v>
      </c>
      <c r="E440" s="85">
        <v>0</v>
      </c>
      <c r="F440" s="85">
        <v>0</v>
      </c>
      <c r="G440" s="85">
        <v>-8890</v>
      </c>
    </row>
    <row r="441" spans="1:7" x14ac:dyDescent="0.25">
      <c r="A441" t="s">
        <v>821</v>
      </c>
      <c r="B441" t="s">
        <v>806</v>
      </c>
      <c r="C441" t="s">
        <v>283</v>
      </c>
      <c r="D441" s="85">
        <v>-10764.29</v>
      </c>
      <c r="E441" s="85">
        <v>0</v>
      </c>
      <c r="F441" s="85">
        <v>59.69</v>
      </c>
      <c r="G441" s="85">
        <v>-10823.98</v>
      </c>
    </row>
    <row r="442" spans="1:7" x14ac:dyDescent="0.25">
      <c r="A442" t="s">
        <v>2826</v>
      </c>
      <c r="B442" t="s">
        <v>2827</v>
      </c>
      <c r="C442" t="s">
        <v>283</v>
      </c>
      <c r="D442" s="85">
        <v>-1950.08</v>
      </c>
      <c r="E442" s="85">
        <v>0</v>
      </c>
      <c r="F442" s="85">
        <v>125.54</v>
      </c>
      <c r="G442" s="85">
        <v>-2075.62</v>
      </c>
    </row>
    <row r="443" spans="1:7" x14ac:dyDescent="0.25">
      <c r="A443" t="s">
        <v>822</v>
      </c>
      <c r="B443" t="s">
        <v>626</v>
      </c>
      <c r="C443" t="s">
        <v>271</v>
      </c>
      <c r="D443" s="85">
        <v>-158045.78</v>
      </c>
      <c r="E443" s="85">
        <v>0</v>
      </c>
      <c r="F443" s="85">
        <v>2541.0300000000002</v>
      </c>
      <c r="G443" s="85">
        <v>-160586.81</v>
      </c>
    </row>
    <row r="444" spans="1:7" x14ac:dyDescent="0.25">
      <c r="A444" t="s">
        <v>823</v>
      </c>
      <c r="B444" t="s">
        <v>335</v>
      </c>
      <c r="C444" t="s">
        <v>271</v>
      </c>
      <c r="D444" s="85">
        <v>-158045.78</v>
      </c>
      <c r="E444" s="85">
        <v>0</v>
      </c>
      <c r="F444" s="85">
        <v>2541.0300000000002</v>
      </c>
      <c r="G444" s="85">
        <v>-160586.81</v>
      </c>
    </row>
    <row r="445" spans="1:7" x14ac:dyDescent="0.25">
      <c r="A445" t="s">
        <v>824</v>
      </c>
      <c r="B445" t="s">
        <v>626</v>
      </c>
      <c r="C445" t="s">
        <v>283</v>
      </c>
      <c r="D445" s="85">
        <v>-128304.91</v>
      </c>
      <c r="E445" s="85">
        <v>0</v>
      </c>
      <c r="F445" s="85">
        <v>626.38</v>
      </c>
      <c r="G445" s="85">
        <v>-128931.29</v>
      </c>
    </row>
    <row r="446" spans="1:7" x14ac:dyDescent="0.25">
      <c r="A446" t="s">
        <v>2435</v>
      </c>
      <c r="B446" t="s">
        <v>2434</v>
      </c>
      <c r="C446" t="s">
        <v>283</v>
      </c>
      <c r="D446" s="85">
        <v>-29740.87</v>
      </c>
      <c r="E446" s="85">
        <v>0</v>
      </c>
      <c r="F446" s="85">
        <v>1914.65</v>
      </c>
      <c r="G446" s="85">
        <v>-31655.52</v>
      </c>
    </row>
    <row r="447" spans="1:7" x14ac:dyDescent="0.25">
      <c r="A447" t="s">
        <v>825</v>
      </c>
      <c r="B447" t="s">
        <v>632</v>
      </c>
      <c r="C447" t="s">
        <v>271</v>
      </c>
      <c r="D447" s="85">
        <v>-212008.03</v>
      </c>
      <c r="E447" s="85">
        <v>0</v>
      </c>
      <c r="F447" s="85">
        <v>1207.6600000000001</v>
      </c>
      <c r="G447" s="85">
        <v>-213215.69</v>
      </c>
    </row>
    <row r="448" spans="1:7" x14ac:dyDescent="0.25">
      <c r="A448" t="s">
        <v>826</v>
      </c>
      <c r="B448" t="s">
        <v>335</v>
      </c>
      <c r="C448" t="s">
        <v>271</v>
      </c>
      <c r="D448" s="85">
        <v>-212008.03</v>
      </c>
      <c r="E448" s="85">
        <v>0</v>
      </c>
      <c r="F448" s="85">
        <v>1207.6600000000001</v>
      </c>
      <c r="G448" s="85">
        <v>-213215.69</v>
      </c>
    </row>
    <row r="449" spans="1:7" x14ac:dyDescent="0.25">
      <c r="A449" t="s">
        <v>827</v>
      </c>
      <c r="B449" t="s">
        <v>632</v>
      </c>
      <c r="C449" t="s">
        <v>283</v>
      </c>
      <c r="D449" s="85">
        <v>-212008.03</v>
      </c>
      <c r="E449" s="85">
        <v>0</v>
      </c>
      <c r="F449" s="85">
        <v>1207.6600000000001</v>
      </c>
      <c r="G449" s="85">
        <v>-213215.69</v>
      </c>
    </row>
    <row r="450" spans="1:7" x14ac:dyDescent="0.25">
      <c r="A450" t="s">
        <v>828</v>
      </c>
      <c r="B450" t="s">
        <v>829</v>
      </c>
      <c r="C450" t="s">
        <v>271</v>
      </c>
      <c r="D450" s="85">
        <v>273630</v>
      </c>
      <c r="E450" s="85">
        <v>0</v>
      </c>
      <c r="F450" s="85">
        <v>0</v>
      </c>
      <c r="G450" s="85">
        <v>273630</v>
      </c>
    </row>
    <row r="451" spans="1:7" x14ac:dyDescent="0.25">
      <c r="A451" t="s">
        <v>2436</v>
      </c>
      <c r="B451" t="s">
        <v>565</v>
      </c>
      <c r="C451" t="s">
        <v>271</v>
      </c>
      <c r="D451" s="85">
        <v>4900</v>
      </c>
      <c r="E451" s="85">
        <v>0</v>
      </c>
      <c r="F451" s="85">
        <v>0</v>
      </c>
      <c r="G451" s="85">
        <v>4900</v>
      </c>
    </row>
    <row r="452" spans="1:7" x14ac:dyDescent="0.25">
      <c r="A452" t="s">
        <v>2437</v>
      </c>
      <c r="B452" t="s">
        <v>565</v>
      </c>
      <c r="C452" t="s">
        <v>283</v>
      </c>
      <c r="D452" s="85">
        <v>4900</v>
      </c>
      <c r="E452" s="85">
        <v>0</v>
      </c>
      <c r="F452" s="85">
        <v>0</v>
      </c>
      <c r="G452" s="85">
        <v>4900</v>
      </c>
    </row>
    <row r="453" spans="1:7" x14ac:dyDescent="0.25">
      <c r="A453" t="s">
        <v>830</v>
      </c>
      <c r="B453" t="s">
        <v>616</v>
      </c>
      <c r="C453" t="s">
        <v>271</v>
      </c>
      <c r="D453" s="85">
        <v>268730</v>
      </c>
      <c r="E453" s="85">
        <v>0</v>
      </c>
      <c r="F453" s="85">
        <v>0</v>
      </c>
      <c r="G453" s="85">
        <v>268730</v>
      </c>
    </row>
    <row r="454" spans="1:7" x14ac:dyDescent="0.25">
      <c r="A454" t="s">
        <v>831</v>
      </c>
      <c r="B454" t="s">
        <v>616</v>
      </c>
      <c r="C454" t="s">
        <v>283</v>
      </c>
      <c r="D454" s="85">
        <v>521313.22</v>
      </c>
      <c r="E454" s="85">
        <v>0</v>
      </c>
      <c r="F454" s="85">
        <v>0</v>
      </c>
      <c r="G454" s="85">
        <v>521313.22</v>
      </c>
    </row>
    <row r="455" spans="1:7" x14ac:dyDescent="0.25">
      <c r="A455" t="s">
        <v>832</v>
      </c>
      <c r="B455" t="s">
        <v>800</v>
      </c>
      <c r="C455" t="s">
        <v>283</v>
      </c>
      <c r="D455" s="85">
        <v>185313</v>
      </c>
      <c r="E455" s="85">
        <v>0</v>
      </c>
      <c r="F455" s="85">
        <v>0</v>
      </c>
      <c r="G455" s="85">
        <v>185313</v>
      </c>
    </row>
    <row r="456" spans="1:7" x14ac:dyDescent="0.25">
      <c r="A456" t="s">
        <v>833</v>
      </c>
      <c r="B456" t="s">
        <v>834</v>
      </c>
      <c r="C456" t="s">
        <v>283</v>
      </c>
      <c r="D456" s="85">
        <v>-252583.22</v>
      </c>
      <c r="E456" s="85">
        <v>0</v>
      </c>
      <c r="F456" s="85">
        <v>0</v>
      </c>
      <c r="G456" s="85">
        <v>-252583.22</v>
      </c>
    </row>
    <row r="457" spans="1:7" x14ac:dyDescent="0.25">
      <c r="A457" t="s">
        <v>835</v>
      </c>
      <c r="B457" t="s">
        <v>836</v>
      </c>
      <c r="C457" t="s">
        <v>283</v>
      </c>
      <c r="D457" s="85">
        <v>-185313</v>
      </c>
      <c r="E457" s="85">
        <v>0</v>
      </c>
      <c r="F457" s="85">
        <v>0</v>
      </c>
      <c r="G457" s="85">
        <v>-185313</v>
      </c>
    </row>
    <row r="458" spans="1:7" x14ac:dyDescent="0.25">
      <c r="A458" t="s">
        <v>837</v>
      </c>
      <c r="B458" t="s">
        <v>632</v>
      </c>
      <c r="C458" t="s">
        <v>271</v>
      </c>
      <c r="D458" s="85">
        <v>0</v>
      </c>
      <c r="E458" s="85">
        <v>0</v>
      </c>
      <c r="F458" s="85">
        <v>0</v>
      </c>
      <c r="G458" s="85">
        <v>0</v>
      </c>
    </row>
    <row r="459" spans="1:7" x14ac:dyDescent="0.25">
      <c r="A459" t="s">
        <v>838</v>
      </c>
      <c r="B459" t="s">
        <v>632</v>
      </c>
      <c r="C459" t="s">
        <v>283</v>
      </c>
      <c r="D459" s="85">
        <v>1825</v>
      </c>
      <c r="E459" s="85">
        <v>0</v>
      </c>
      <c r="F459" s="85">
        <v>0</v>
      </c>
      <c r="G459" s="85">
        <v>1825</v>
      </c>
    </row>
    <row r="460" spans="1:7" x14ac:dyDescent="0.25">
      <c r="A460" t="s">
        <v>839</v>
      </c>
      <c r="B460" t="s">
        <v>840</v>
      </c>
      <c r="C460" t="s">
        <v>283</v>
      </c>
      <c r="D460" s="85">
        <v>-1825</v>
      </c>
      <c r="E460" s="85">
        <v>0</v>
      </c>
      <c r="F460" s="85">
        <v>0</v>
      </c>
      <c r="G460" s="85">
        <v>-1825</v>
      </c>
    </row>
    <row r="461" spans="1:7" x14ac:dyDescent="0.25">
      <c r="A461" t="s">
        <v>841</v>
      </c>
      <c r="B461" t="s">
        <v>842</v>
      </c>
      <c r="C461" t="s">
        <v>271</v>
      </c>
      <c r="D461" s="85">
        <v>55264468.119999997</v>
      </c>
      <c r="E461" s="85">
        <v>0.03</v>
      </c>
      <c r="F461" s="85">
        <v>294860.13</v>
      </c>
      <c r="G461" s="85">
        <v>54969608.020000003</v>
      </c>
    </row>
    <row r="462" spans="1:7" x14ac:dyDescent="0.25">
      <c r="A462" t="s">
        <v>843</v>
      </c>
      <c r="B462" t="s">
        <v>581</v>
      </c>
      <c r="C462" t="s">
        <v>271</v>
      </c>
      <c r="D462" s="85">
        <v>55223839.119999997</v>
      </c>
      <c r="E462" s="85">
        <v>0.03</v>
      </c>
      <c r="F462" s="85">
        <v>293689.3</v>
      </c>
      <c r="G462" s="85">
        <v>54930149.850000001</v>
      </c>
    </row>
    <row r="463" spans="1:7" x14ac:dyDescent="0.25">
      <c r="A463" t="s">
        <v>844</v>
      </c>
      <c r="B463" t="s">
        <v>845</v>
      </c>
      <c r="C463" t="s">
        <v>271</v>
      </c>
      <c r="D463" s="85">
        <v>89285010.299999997</v>
      </c>
      <c r="E463" s="85">
        <v>0</v>
      </c>
      <c r="F463" s="85">
        <v>0</v>
      </c>
      <c r="G463" s="85">
        <v>89285010.299999997</v>
      </c>
    </row>
    <row r="464" spans="1:7" x14ac:dyDescent="0.25">
      <c r="A464" t="s">
        <v>846</v>
      </c>
      <c r="B464" t="s">
        <v>847</v>
      </c>
      <c r="C464" t="s">
        <v>271</v>
      </c>
      <c r="D464" s="85">
        <v>88383600</v>
      </c>
      <c r="E464" s="85">
        <v>0</v>
      </c>
      <c r="F464" s="85">
        <v>0</v>
      </c>
      <c r="G464" s="85">
        <v>88383600</v>
      </c>
    </row>
    <row r="465" spans="1:7" x14ac:dyDescent="0.25">
      <c r="A465" t="s">
        <v>848</v>
      </c>
      <c r="B465" t="s">
        <v>302</v>
      </c>
      <c r="C465" t="s">
        <v>271</v>
      </c>
      <c r="D465" s="85">
        <v>88383600</v>
      </c>
      <c r="E465" s="85">
        <v>0</v>
      </c>
      <c r="F465" s="85">
        <v>0</v>
      </c>
      <c r="G465" s="85">
        <v>88383600</v>
      </c>
    </row>
    <row r="466" spans="1:7" x14ac:dyDescent="0.25">
      <c r="A466" t="s">
        <v>849</v>
      </c>
      <c r="B466" t="s">
        <v>850</v>
      </c>
      <c r="C466" t="s">
        <v>283</v>
      </c>
      <c r="D466" s="85">
        <v>88383600</v>
      </c>
      <c r="E466" s="85">
        <v>0</v>
      </c>
      <c r="F466" s="85">
        <v>0</v>
      </c>
      <c r="G466" s="85">
        <v>88383600</v>
      </c>
    </row>
    <row r="467" spans="1:7" x14ac:dyDescent="0.25">
      <c r="A467" t="s">
        <v>851</v>
      </c>
      <c r="B467" t="s">
        <v>852</v>
      </c>
      <c r="C467" t="s">
        <v>271</v>
      </c>
      <c r="D467" s="85">
        <v>901410.3</v>
      </c>
      <c r="E467" s="85">
        <v>0</v>
      </c>
      <c r="F467" s="85">
        <v>0</v>
      </c>
      <c r="G467" s="85">
        <v>901410.3</v>
      </c>
    </row>
    <row r="468" spans="1:7" x14ac:dyDescent="0.25">
      <c r="A468" t="s">
        <v>853</v>
      </c>
      <c r="B468" t="s">
        <v>586</v>
      </c>
      <c r="C468" t="s">
        <v>271</v>
      </c>
      <c r="D468" s="85">
        <v>394072.57</v>
      </c>
      <c r="E468" s="85">
        <v>0</v>
      </c>
      <c r="F468" s="85">
        <v>0</v>
      </c>
      <c r="G468" s="85">
        <v>394072.57</v>
      </c>
    </row>
    <row r="469" spans="1:7" x14ac:dyDescent="0.25">
      <c r="A469" t="s">
        <v>854</v>
      </c>
      <c r="B469" t="s">
        <v>855</v>
      </c>
      <c r="C469" t="s">
        <v>283</v>
      </c>
      <c r="D469" s="85">
        <v>394072.57</v>
      </c>
      <c r="E469" s="85">
        <v>0</v>
      </c>
      <c r="F469" s="85">
        <v>0</v>
      </c>
      <c r="G469" s="85">
        <v>394072.57</v>
      </c>
    </row>
    <row r="470" spans="1:7" x14ac:dyDescent="0.25">
      <c r="A470" t="s">
        <v>856</v>
      </c>
      <c r="B470" t="s">
        <v>302</v>
      </c>
      <c r="C470" t="s">
        <v>271</v>
      </c>
      <c r="D470" s="85">
        <v>50197.65</v>
      </c>
      <c r="E470" s="85">
        <v>0</v>
      </c>
      <c r="F470" s="85">
        <v>0</v>
      </c>
      <c r="G470" s="85">
        <v>50197.65</v>
      </c>
    </row>
    <row r="471" spans="1:7" x14ac:dyDescent="0.25">
      <c r="A471" t="s">
        <v>857</v>
      </c>
      <c r="B471" t="s">
        <v>855</v>
      </c>
      <c r="C471" t="s">
        <v>283</v>
      </c>
      <c r="D471" s="85">
        <v>50197.65</v>
      </c>
      <c r="E471" s="85">
        <v>0</v>
      </c>
      <c r="F471" s="85">
        <v>0</v>
      </c>
      <c r="G471" s="85">
        <v>50197.65</v>
      </c>
    </row>
    <row r="472" spans="1:7" x14ac:dyDescent="0.25">
      <c r="A472" t="s">
        <v>858</v>
      </c>
      <c r="B472" t="s">
        <v>591</v>
      </c>
      <c r="C472" t="s">
        <v>271</v>
      </c>
      <c r="D472" s="85">
        <v>457140.08</v>
      </c>
      <c r="E472" s="85">
        <v>0</v>
      </c>
      <c r="F472" s="85">
        <v>0</v>
      </c>
      <c r="G472" s="85">
        <v>457140.08</v>
      </c>
    </row>
    <row r="473" spans="1:7" x14ac:dyDescent="0.25">
      <c r="A473" t="s">
        <v>859</v>
      </c>
      <c r="B473" t="s">
        <v>860</v>
      </c>
      <c r="C473" t="s">
        <v>283</v>
      </c>
      <c r="D473" s="85">
        <v>228705.84</v>
      </c>
      <c r="E473" s="85">
        <v>0</v>
      </c>
      <c r="F473" s="85">
        <v>0</v>
      </c>
      <c r="G473" s="85">
        <v>228705.84</v>
      </c>
    </row>
    <row r="474" spans="1:7" x14ac:dyDescent="0.25">
      <c r="A474" t="s">
        <v>2828</v>
      </c>
      <c r="B474" t="s">
        <v>2829</v>
      </c>
      <c r="C474" t="s">
        <v>283</v>
      </c>
      <c r="D474" s="85">
        <v>228434.24</v>
      </c>
      <c r="E474" s="85">
        <v>0</v>
      </c>
      <c r="F474" s="85">
        <v>0</v>
      </c>
      <c r="G474" s="85">
        <v>228434.24</v>
      </c>
    </row>
    <row r="475" spans="1:7" x14ac:dyDescent="0.25">
      <c r="A475" t="s">
        <v>861</v>
      </c>
      <c r="B475" t="s">
        <v>862</v>
      </c>
      <c r="C475" t="s">
        <v>271</v>
      </c>
      <c r="D475" s="85">
        <v>-34061171.18</v>
      </c>
      <c r="E475" s="85">
        <v>0.03</v>
      </c>
      <c r="F475" s="85">
        <v>293689.3</v>
      </c>
      <c r="G475" s="85">
        <v>-34354860.450000003</v>
      </c>
    </row>
    <row r="476" spans="1:7" x14ac:dyDescent="0.25">
      <c r="A476" t="s">
        <v>863</v>
      </c>
      <c r="B476" t="s">
        <v>847</v>
      </c>
      <c r="C476" t="s">
        <v>271</v>
      </c>
      <c r="D476" s="85">
        <v>-33710414.189999998</v>
      </c>
      <c r="E476" s="85">
        <v>0.03</v>
      </c>
      <c r="F476" s="85">
        <v>283280.76</v>
      </c>
      <c r="G476" s="85">
        <v>-33993694.920000002</v>
      </c>
    </row>
    <row r="477" spans="1:7" x14ac:dyDescent="0.25">
      <c r="A477" t="s">
        <v>864</v>
      </c>
      <c r="B477" t="s">
        <v>302</v>
      </c>
      <c r="C477" t="s">
        <v>271</v>
      </c>
      <c r="D477" s="85">
        <v>-33710414.189999998</v>
      </c>
      <c r="E477" s="85">
        <v>0.03</v>
      </c>
      <c r="F477" s="85">
        <v>283280.76</v>
      </c>
      <c r="G477" s="85">
        <v>-33993694.920000002</v>
      </c>
    </row>
    <row r="478" spans="1:7" x14ac:dyDescent="0.25">
      <c r="A478" t="s">
        <v>865</v>
      </c>
      <c r="B478" t="s">
        <v>850</v>
      </c>
      <c r="C478" t="s">
        <v>283</v>
      </c>
      <c r="D478" s="85">
        <v>-33710414.189999998</v>
      </c>
      <c r="E478" s="85">
        <v>0.03</v>
      </c>
      <c r="F478" s="85">
        <v>283280.76</v>
      </c>
      <c r="G478" s="85">
        <v>-33993694.920000002</v>
      </c>
    </row>
    <row r="479" spans="1:7" x14ac:dyDescent="0.25">
      <c r="A479" t="s">
        <v>866</v>
      </c>
      <c r="B479" t="s">
        <v>852</v>
      </c>
      <c r="C479" t="s">
        <v>271</v>
      </c>
      <c r="D479" s="85">
        <v>-350756.99</v>
      </c>
      <c r="E479" s="85">
        <v>0</v>
      </c>
      <c r="F479" s="85">
        <v>10408.540000000001</v>
      </c>
      <c r="G479" s="85">
        <v>-361165.53</v>
      </c>
    </row>
    <row r="480" spans="1:7" x14ac:dyDescent="0.25">
      <c r="A480" t="s">
        <v>867</v>
      </c>
      <c r="B480" t="s">
        <v>586</v>
      </c>
      <c r="C480" t="s">
        <v>271</v>
      </c>
      <c r="D480" s="85">
        <v>-46776.06</v>
      </c>
      <c r="E480" s="85">
        <v>0</v>
      </c>
      <c r="F480" s="85">
        <v>6532.9</v>
      </c>
      <c r="G480" s="85">
        <v>-53308.959999999999</v>
      </c>
    </row>
    <row r="481" spans="1:7" x14ac:dyDescent="0.25">
      <c r="A481" t="s">
        <v>868</v>
      </c>
      <c r="B481" t="s">
        <v>869</v>
      </c>
      <c r="C481" t="s">
        <v>283</v>
      </c>
      <c r="D481" s="85">
        <v>-46776.06</v>
      </c>
      <c r="E481" s="85">
        <v>0</v>
      </c>
      <c r="F481" s="85">
        <v>6532.9</v>
      </c>
      <c r="G481" s="85">
        <v>-53308.959999999999</v>
      </c>
    </row>
    <row r="482" spans="1:7" x14ac:dyDescent="0.25">
      <c r="A482" t="s">
        <v>870</v>
      </c>
      <c r="B482" t="s">
        <v>302</v>
      </c>
      <c r="C482" t="s">
        <v>271</v>
      </c>
      <c r="D482" s="85">
        <v>-48624.43</v>
      </c>
      <c r="E482" s="85">
        <v>0</v>
      </c>
      <c r="F482" s="85">
        <v>68.400000000000006</v>
      </c>
      <c r="G482" s="85">
        <v>-48692.83</v>
      </c>
    </row>
    <row r="483" spans="1:7" x14ac:dyDescent="0.25">
      <c r="A483" t="s">
        <v>871</v>
      </c>
      <c r="B483" t="s">
        <v>855</v>
      </c>
      <c r="C483" t="s">
        <v>283</v>
      </c>
      <c r="D483" s="85">
        <v>-48624.43</v>
      </c>
      <c r="E483" s="85">
        <v>0</v>
      </c>
      <c r="F483" s="85">
        <v>68.400000000000006</v>
      </c>
      <c r="G483" s="85">
        <v>-48692.83</v>
      </c>
    </row>
    <row r="484" spans="1:7" x14ac:dyDescent="0.25">
      <c r="A484" t="s">
        <v>872</v>
      </c>
      <c r="B484" t="s">
        <v>591</v>
      </c>
      <c r="C484" t="s">
        <v>271</v>
      </c>
      <c r="D484" s="85">
        <v>-255356.5</v>
      </c>
      <c r="E484" s="85">
        <v>0</v>
      </c>
      <c r="F484" s="85">
        <v>3807.24</v>
      </c>
      <c r="G484" s="85">
        <v>-259163.74</v>
      </c>
    </row>
    <row r="485" spans="1:7" x14ac:dyDescent="0.25">
      <c r="A485" t="s">
        <v>873</v>
      </c>
      <c r="B485" t="s">
        <v>869</v>
      </c>
      <c r="C485" t="s">
        <v>283</v>
      </c>
      <c r="D485" s="85">
        <v>-228705.84</v>
      </c>
      <c r="E485" s="85">
        <v>0</v>
      </c>
      <c r="F485" s="85">
        <v>0</v>
      </c>
      <c r="G485" s="85">
        <v>-228705.84</v>
      </c>
    </row>
    <row r="486" spans="1:7" x14ac:dyDescent="0.25">
      <c r="A486" t="s">
        <v>2830</v>
      </c>
      <c r="B486" t="s">
        <v>2829</v>
      </c>
      <c r="C486" t="s">
        <v>283</v>
      </c>
      <c r="D486" s="85">
        <v>-26650.66</v>
      </c>
      <c r="E486" s="85">
        <v>0</v>
      </c>
      <c r="F486" s="85">
        <v>3807.24</v>
      </c>
      <c r="G486" s="85">
        <v>-30457.9</v>
      </c>
    </row>
    <row r="487" spans="1:7" x14ac:dyDescent="0.25">
      <c r="A487" t="s">
        <v>874</v>
      </c>
      <c r="B487" t="s">
        <v>751</v>
      </c>
      <c r="C487" t="s">
        <v>271</v>
      </c>
      <c r="D487" s="85">
        <v>-141035.28</v>
      </c>
      <c r="E487" s="85">
        <v>0</v>
      </c>
      <c r="F487" s="85">
        <v>0</v>
      </c>
      <c r="G487" s="85">
        <v>-141035.28</v>
      </c>
    </row>
    <row r="488" spans="1:7" x14ac:dyDescent="0.25">
      <c r="A488" t="s">
        <v>875</v>
      </c>
      <c r="B488" t="s">
        <v>331</v>
      </c>
      <c r="C488" t="s">
        <v>271</v>
      </c>
      <c r="D488" s="85">
        <v>-141035.28</v>
      </c>
      <c r="E488" s="85">
        <v>0</v>
      </c>
      <c r="F488" s="85">
        <v>0</v>
      </c>
      <c r="G488" s="85">
        <v>-141035.28</v>
      </c>
    </row>
    <row r="489" spans="1:7" x14ac:dyDescent="0.25">
      <c r="A489" t="s">
        <v>876</v>
      </c>
      <c r="B489" t="s">
        <v>591</v>
      </c>
      <c r="C489" t="s">
        <v>271</v>
      </c>
      <c r="D489" s="85">
        <v>-141035.28</v>
      </c>
      <c r="E489" s="85">
        <v>0</v>
      </c>
      <c r="F489" s="85">
        <v>0</v>
      </c>
      <c r="G489" s="85">
        <v>-141035.28</v>
      </c>
    </row>
    <row r="490" spans="1:7" x14ac:dyDescent="0.25">
      <c r="A490" t="s">
        <v>877</v>
      </c>
      <c r="B490" t="s">
        <v>878</v>
      </c>
      <c r="C490" t="s">
        <v>283</v>
      </c>
      <c r="D490" s="85">
        <v>-141035.28</v>
      </c>
      <c r="E490" s="85">
        <v>0</v>
      </c>
      <c r="F490" s="85">
        <v>0</v>
      </c>
      <c r="G490" s="85">
        <v>-141035.28</v>
      </c>
    </row>
    <row r="491" spans="1:7" x14ac:dyDescent="0.25">
      <c r="A491" t="s">
        <v>879</v>
      </c>
      <c r="B491" t="s">
        <v>880</v>
      </c>
      <c r="C491" t="s">
        <v>271</v>
      </c>
      <c r="D491" s="85">
        <v>141035.28</v>
      </c>
      <c r="E491" s="85">
        <v>0</v>
      </c>
      <c r="F491" s="85">
        <v>0</v>
      </c>
      <c r="G491" s="85">
        <v>141035.28</v>
      </c>
    </row>
    <row r="492" spans="1:7" x14ac:dyDescent="0.25">
      <c r="A492" t="s">
        <v>881</v>
      </c>
      <c r="B492" t="s">
        <v>331</v>
      </c>
      <c r="C492" t="s">
        <v>271</v>
      </c>
      <c r="D492" s="85">
        <v>141035.28</v>
      </c>
      <c r="E492" s="85">
        <v>0</v>
      </c>
      <c r="F492" s="85">
        <v>0</v>
      </c>
      <c r="G492" s="85">
        <v>141035.28</v>
      </c>
    </row>
    <row r="493" spans="1:7" x14ac:dyDescent="0.25">
      <c r="A493" t="s">
        <v>882</v>
      </c>
      <c r="B493" t="s">
        <v>591</v>
      </c>
      <c r="C493" t="s">
        <v>271</v>
      </c>
      <c r="D493" s="85">
        <v>141035.28</v>
      </c>
      <c r="E493" s="85">
        <v>0</v>
      </c>
      <c r="F493" s="85">
        <v>0</v>
      </c>
      <c r="G493" s="85">
        <v>141035.28</v>
      </c>
    </row>
    <row r="494" spans="1:7" x14ac:dyDescent="0.25">
      <c r="A494" t="s">
        <v>883</v>
      </c>
      <c r="B494" t="s">
        <v>884</v>
      </c>
      <c r="C494" t="s">
        <v>283</v>
      </c>
      <c r="D494" s="85">
        <v>141035.28</v>
      </c>
      <c r="E494" s="85">
        <v>0</v>
      </c>
      <c r="F494" s="85">
        <v>0</v>
      </c>
      <c r="G494" s="85">
        <v>141035.28</v>
      </c>
    </row>
    <row r="495" spans="1:7" x14ac:dyDescent="0.25">
      <c r="A495" t="s">
        <v>2438</v>
      </c>
      <c r="B495" t="s">
        <v>2439</v>
      </c>
      <c r="C495" t="s">
        <v>271</v>
      </c>
      <c r="D495" s="85">
        <v>5504</v>
      </c>
      <c r="E495" s="85">
        <v>0</v>
      </c>
      <c r="F495" s="85">
        <v>0</v>
      </c>
      <c r="G495" s="85">
        <v>5504</v>
      </c>
    </row>
    <row r="496" spans="1:7" x14ac:dyDescent="0.25">
      <c r="A496" t="s">
        <v>2440</v>
      </c>
      <c r="B496" t="s">
        <v>2441</v>
      </c>
      <c r="C496" t="s">
        <v>271</v>
      </c>
      <c r="D496" s="85">
        <v>5504</v>
      </c>
      <c r="E496" s="85">
        <v>0</v>
      </c>
      <c r="F496" s="85">
        <v>0</v>
      </c>
      <c r="G496" s="85">
        <v>5504</v>
      </c>
    </row>
    <row r="497" spans="1:7" x14ac:dyDescent="0.25">
      <c r="A497" t="s">
        <v>2442</v>
      </c>
      <c r="B497" t="s">
        <v>2443</v>
      </c>
      <c r="C497" t="s">
        <v>271</v>
      </c>
      <c r="D497" s="85">
        <v>5504</v>
      </c>
      <c r="E497" s="85">
        <v>0</v>
      </c>
      <c r="F497" s="85">
        <v>0</v>
      </c>
      <c r="G497" s="85">
        <v>5504</v>
      </c>
    </row>
    <row r="498" spans="1:7" x14ac:dyDescent="0.25">
      <c r="A498" t="s">
        <v>2444</v>
      </c>
      <c r="B498" t="s">
        <v>2445</v>
      </c>
      <c r="C498" t="s">
        <v>283</v>
      </c>
      <c r="D498" s="85">
        <v>5504</v>
      </c>
      <c r="E498" s="85">
        <v>0</v>
      </c>
      <c r="F498" s="85">
        <v>0</v>
      </c>
      <c r="G498" s="85">
        <v>5504</v>
      </c>
    </row>
    <row r="499" spans="1:7" x14ac:dyDescent="0.25">
      <c r="A499" t="s">
        <v>885</v>
      </c>
      <c r="B499" t="s">
        <v>793</v>
      </c>
      <c r="C499" t="s">
        <v>271</v>
      </c>
      <c r="D499" s="85">
        <v>35125</v>
      </c>
      <c r="E499" s="85">
        <v>0</v>
      </c>
      <c r="F499" s="85">
        <v>1170.83</v>
      </c>
      <c r="G499" s="85">
        <v>33954.17</v>
      </c>
    </row>
    <row r="500" spans="1:7" x14ac:dyDescent="0.25">
      <c r="A500" t="s">
        <v>886</v>
      </c>
      <c r="B500" t="s">
        <v>887</v>
      </c>
      <c r="C500" t="s">
        <v>271</v>
      </c>
      <c r="D500" s="85">
        <v>290632.57</v>
      </c>
      <c r="E500" s="85">
        <v>0</v>
      </c>
      <c r="F500" s="85">
        <v>0</v>
      </c>
      <c r="G500" s="85">
        <v>290632.57</v>
      </c>
    </row>
    <row r="501" spans="1:7" x14ac:dyDescent="0.25">
      <c r="A501" t="s">
        <v>888</v>
      </c>
      <c r="B501" t="s">
        <v>852</v>
      </c>
      <c r="C501" t="s">
        <v>271</v>
      </c>
      <c r="D501" s="85">
        <v>290632.57</v>
      </c>
      <c r="E501" s="85">
        <v>0</v>
      </c>
      <c r="F501" s="85">
        <v>0</v>
      </c>
      <c r="G501" s="85">
        <v>290632.57</v>
      </c>
    </row>
    <row r="502" spans="1:7" x14ac:dyDescent="0.25">
      <c r="A502" t="s">
        <v>889</v>
      </c>
      <c r="B502" t="s">
        <v>335</v>
      </c>
      <c r="C502" t="s">
        <v>271</v>
      </c>
      <c r="D502" s="85">
        <v>290632.57</v>
      </c>
      <c r="E502" s="85">
        <v>0</v>
      </c>
      <c r="F502" s="85">
        <v>0</v>
      </c>
      <c r="G502" s="85">
        <v>290632.57</v>
      </c>
    </row>
    <row r="503" spans="1:7" x14ac:dyDescent="0.25">
      <c r="A503" t="s">
        <v>890</v>
      </c>
      <c r="B503" t="s">
        <v>852</v>
      </c>
      <c r="C503" t="s">
        <v>283</v>
      </c>
      <c r="D503" s="85">
        <v>290632.57</v>
      </c>
      <c r="E503" s="85">
        <v>0</v>
      </c>
      <c r="F503" s="85">
        <v>0</v>
      </c>
      <c r="G503" s="85">
        <v>290632.57</v>
      </c>
    </row>
    <row r="504" spans="1:7" x14ac:dyDescent="0.25">
      <c r="A504" t="s">
        <v>891</v>
      </c>
      <c r="B504" t="s">
        <v>892</v>
      </c>
      <c r="C504" t="s">
        <v>271</v>
      </c>
      <c r="D504" s="85">
        <v>-255507.57</v>
      </c>
      <c r="E504" s="85">
        <v>0</v>
      </c>
      <c r="F504" s="85">
        <v>1170.83</v>
      </c>
      <c r="G504" s="85">
        <v>-256678.39999999999</v>
      </c>
    </row>
    <row r="505" spans="1:7" x14ac:dyDescent="0.25">
      <c r="A505" t="s">
        <v>893</v>
      </c>
      <c r="B505" t="s">
        <v>852</v>
      </c>
      <c r="C505" t="s">
        <v>271</v>
      </c>
      <c r="D505" s="85">
        <v>-255507.57</v>
      </c>
      <c r="E505" s="85">
        <v>0</v>
      </c>
      <c r="F505" s="85">
        <v>1170.83</v>
      </c>
      <c r="G505" s="85">
        <v>-256678.39999999999</v>
      </c>
    </row>
    <row r="506" spans="1:7" x14ac:dyDescent="0.25">
      <c r="A506" t="s">
        <v>894</v>
      </c>
      <c r="B506" t="s">
        <v>335</v>
      </c>
      <c r="C506" t="s">
        <v>271</v>
      </c>
      <c r="D506" s="85">
        <v>-255507.57</v>
      </c>
      <c r="E506" s="85">
        <v>0</v>
      </c>
      <c r="F506" s="85">
        <v>1170.83</v>
      </c>
      <c r="G506" s="85">
        <v>-256678.39999999999</v>
      </c>
    </row>
    <row r="507" spans="1:7" x14ac:dyDescent="0.25">
      <c r="A507" t="s">
        <v>895</v>
      </c>
      <c r="B507" t="s">
        <v>852</v>
      </c>
      <c r="C507" t="s">
        <v>283</v>
      </c>
      <c r="D507" s="85">
        <v>-255507.57</v>
      </c>
      <c r="E507" s="85">
        <v>0</v>
      </c>
      <c r="F507" s="85">
        <v>1170.83</v>
      </c>
      <c r="G507" s="85">
        <v>-256678.39999999999</v>
      </c>
    </row>
    <row r="508" spans="1:7" x14ac:dyDescent="0.25">
      <c r="A508" t="s">
        <v>896</v>
      </c>
      <c r="B508" t="s">
        <v>897</v>
      </c>
      <c r="C508" t="s">
        <v>271</v>
      </c>
      <c r="D508" s="85">
        <v>-505083409.85000002</v>
      </c>
      <c r="E508" s="85">
        <v>53391485.759999998</v>
      </c>
      <c r="F508" s="85">
        <v>51985563.380000003</v>
      </c>
      <c r="G508" s="85">
        <v>-503677487.47000003</v>
      </c>
    </row>
    <row r="509" spans="1:7" x14ac:dyDescent="0.25">
      <c r="A509" t="s">
        <v>898</v>
      </c>
      <c r="B509" t="s">
        <v>899</v>
      </c>
      <c r="C509" t="s">
        <v>271</v>
      </c>
      <c r="D509" s="85">
        <v>-21122214.27</v>
      </c>
      <c r="E509" s="85">
        <v>29429913.5</v>
      </c>
      <c r="F509" s="85">
        <v>28258635.420000002</v>
      </c>
      <c r="G509" s="85">
        <v>-19950936.190000001</v>
      </c>
    </row>
    <row r="510" spans="1:7" x14ac:dyDescent="0.25">
      <c r="A510" t="s">
        <v>900</v>
      </c>
      <c r="B510" t="s">
        <v>513</v>
      </c>
      <c r="C510" t="s">
        <v>271</v>
      </c>
      <c r="D510" s="85">
        <v>-6215436.4000000004</v>
      </c>
      <c r="E510" s="85">
        <v>8594716.9000000004</v>
      </c>
      <c r="F510" s="85">
        <v>7260610.4699999997</v>
      </c>
      <c r="G510" s="85">
        <v>-4881329.97</v>
      </c>
    </row>
    <row r="511" spans="1:7" x14ac:dyDescent="0.25">
      <c r="A511" t="s">
        <v>901</v>
      </c>
      <c r="B511" t="s">
        <v>902</v>
      </c>
      <c r="C511" t="s">
        <v>271</v>
      </c>
      <c r="D511" s="85">
        <v>-111003.82</v>
      </c>
      <c r="E511" s="85">
        <v>40155.339999999997</v>
      </c>
      <c r="F511" s="85">
        <v>40155.339999999997</v>
      </c>
      <c r="G511" s="85">
        <v>-111003.82</v>
      </c>
    </row>
    <row r="512" spans="1:7" x14ac:dyDescent="0.25">
      <c r="A512" t="s">
        <v>903</v>
      </c>
      <c r="B512" t="s">
        <v>902</v>
      </c>
      <c r="C512" t="s">
        <v>271</v>
      </c>
      <c r="D512" s="85">
        <v>-111003.82</v>
      </c>
      <c r="E512" s="85">
        <v>40155.339999999997</v>
      </c>
      <c r="F512" s="85">
        <v>40155.339999999997</v>
      </c>
      <c r="G512" s="85">
        <v>-111003.82</v>
      </c>
    </row>
    <row r="513" spans="1:7" x14ac:dyDescent="0.25">
      <c r="A513" t="s">
        <v>904</v>
      </c>
      <c r="B513" t="s">
        <v>905</v>
      </c>
      <c r="C513" t="s">
        <v>271</v>
      </c>
      <c r="D513" s="85">
        <v>-111003.82</v>
      </c>
      <c r="E513" s="85">
        <v>40155.339999999997</v>
      </c>
      <c r="F513" s="85">
        <v>40155.339999999997</v>
      </c>
      <c r="G513" s="85">
        <v>-111003.82</v>
      </c>
    </row>
    <row r="514" spans="1:7" x14ac:dyDescent="0.25">
      <c r="A514" t="s">
        <v>906</v>
      </c>
      <c r="B514" t="s">
        <v>586</v>
      </c>
      <c r="C514" t="s">
        <v>271</v>
      </c>
      <c r="D514" s="85">
        <v>0</v>
      </c>
      <c r="E514" s="85">
        <v>40155.339999999997</v>
      </c>
      <c r="F514" s="85">
        <v>40155.339999999997</v>
      </c>
      <c r="G514" s="85">
        <v>0</v>
      </c>
    </row>
    <row r="515" spans="1:7" x14ac:dyDescent="0.25">
      <c r="A515" t="s">
        <v>907</v>
      </c>
      <c r="B515" t="s">
        <v>518</v>
      </c>
      <c r="C515" t="s">
        <v>283</v>
      </c>
      <c r="D515" s="85">
        <v>0</v>
      </c>
      <c r="E515" s="85">
        <v>40155.339999999997</v>
      </c>
      <c r="F515" s="85">
        <v>40155.339999999997</v>
      </c>
      <c r="G515" s="85">
        <v>0</v>
      </c>
    </row>
    <row r="516" spans="1:7" x14ac:dyDescent="0.25">
      <c r="A516" t="s">
        <v>908</v>
      </c>
      <c r="B516" t="s">
        <v>302</v>
      </c>
      <c r="C516" t="s">
        <v>271</v>
      </c>
      <c r="D516" s="85">
        <v>-111003.82</v>
      </c>
      <c r="E516" s="85">
        <v>0</v>
      </c>
      <c r="F516" s="85">
        <v>0</v>
      </c>
      <c r="G516" s="85">
        <v>-111003.82</v>
      </c>
    </row>
    <row r="517" spans="1:7" x14ac:dyDescent="0.25">
      <c r="A517" t="s">
        <v>909</v>
      </c>
      <c r="B517" t="s">
        <v>910</v>
      </c>
      <c r="C517" t="s">
        <v>283</v>
      </c>
      <c r="D517" s="85">
        <v>-111003.82</v>
      </c>
      <c r="E517" s="85">
        <v>0</v>
      </c>
      <c r="F517" s="85">
        <v>0</v>
      </c>
      <c r="G517" s="85">
        <v>-111003.82</v>
      </c>
    </row>
    <row r="518" spans="1:7" x14ac:dyDescent="0.25">
      <c r="A518" t="s">
        <v>911</v>
      </c>
      <c r="B518" t="s">
        <v>912</v>
      </c>
      <c r="C518" t="s">
        <v>271</v>
      </c>
      <c r="D518" s="85">
        <v>-388020.47999999998</v>
      </c>
      <c r="E518" s="85">
        <v>478594.08</v>
      </c>
      <c r="F518" s="85">
        <v>552428.47</v>
      </c>
      <c r="G518" s="85">
        <v>-461854.87</v>
      </c>
    </row>
    <row r="519" spans="1:7" x14ac:dyDescent="0.25">
      <c r="A519" t="s">
        <v>913</v>
      </c>
      <c r="B519" t="s">
        <v>912</v>
      </c>
      <c r="C519" t="s">
        <v>271</v>
      </c>
      <c r="D519" s="85">
        <v>-388020.47999999998</v>
      </c>
      <c r="E519" s="85">
        <v>478594.08</v>
      </c>
      <c r="F519" s="85">
        <v>552428.47</v>
      </c>
      <c r="G519" s="85">
        <v>-461854.87</v>
      </c>
    </row>
    <row r="520" spans="1:7" x14ac:dyDescent="0.25">
      <c r="A520" t="s">
        <v>914</v>
      </c>
      <c r="B520" t="s">
        <v>912</v>
      </c>
      <c r="C520" t="s">
        <v>271</v>
      </c>
      <c r="D520" s="85">
        <v>-388020.47999999998</v>
      </c>
      <c r="E520" s="85">
        <v>478594.08</v>
      </c>
      <c r="F520" s="85">
        <v>552428.47</v>
      </c>
      <c r="G520" s="85">
        <v>-461854.87</v>
      </c>
    </row>
    <row r="521" spans="1:7" x14ac:dyDescent="0.25">
      <c r="A521" t="s">
        <v>2831</v>
      </c>
      <c r="B521" t="s">
        <v>2832</v>
      </c>
      <c r="C521" t="s">
        <v>283</v>
      </c>
      <c r="D521" s="85">
        <v>0</v>
      </c>
      <c r="E521" s="85">
        <v>1109.9100000000001</v>
      </c>
      <c r="F521" s="85">
        <v>1109.9100000000001</v>
      </c>
      <c r="G521" s="85">
        <v>0</v>
      </c>
    </row>
    <row r="522" spans="1:7" x14ac:dyDescent="0.25">
      <c r="A522" t="s">
        <v>2833</v>
      </c>
      <c r="B522" t="s">
        <v>2834</v>
      </c>
      <c r="C522" t="s">
        <v>283</v>
      </c>
      <c r="D522" s="85">
        <v>0</v>
      </c>
      <c r="E522" s="85">
        <v>0</v>
      </c>
      <c r="F522" s="85">
        <v>24.5</v>
      </c>
      <c r="G522" s="85">
        <v>-24.5</v>
      </c>
    </row>
    <row r="523" spans="1:7" x14ac:dyDescent="0.25">
      <c r="A523" t="s">
        <v>2835</v>
      </c>
      <c r="B523" t="s">
        <v>2836</v>
      </c>
      <c r="C523" t="s">
        <v>283</v>
      </c>
      <c r="D523" s="85">
        <v>-1073.18</v>
      </c>
      <c r="E523" s="85">
        <v>2146.36</v>
      </c>
      <c r="F523" s="85">
        <v>1073.18</v>
      </c>
      <c r="G523" s="85">
        <v>0</v>
      </c>
    </row>
    <row r="524" spans="1:7" x14ac:dyDescent="0.25">
      <c r="A524" t="s">
        <v>2837</v>
      </c>
      <c r="B524" t="s">
        <v>2838</v>
      </c>
      <c r="C524" t="s">
        <v>283</v>
      </c>
      <c r="D524" s="85">
        <v>0</v>
      </c>
      <c r="E524" s="85">
        <v>2766.42</v>
      </c>
      <c r="F524" s="85">
        <v>2766.42</v>
      </c>
      <c r="G524" s="85">
        <v>0</v>
      </c>
    </row>
    <row r="525" spans="1:7" x14ac:dyDescent="0.25">
      <c r="A525" t="s">
        <v>2839</v>
      </c>
      <c r="B525" t="s">
        <v>2840</v>
      </c>
      <c r="C525" t="s">
        <v>283</v>
      </c>
      <c r="D525" s="85">
        <v>0</v>
      </c>
      <c r="E525" s="85">
        <v>190.33</v>
      </c>
      <c r="F525" s="85">
        <v>190.33</v>
      </c>
      <c r="G525" s="85">
        <v>0</v>
      </c>
    </row>
    <row r="526" spans="1:7" x14ac:dyDescent="0.25">
      <c r="A526" t="s">
        <v>2841</v>
      </c>
      <c r="B526" t="s">
        <v>2842</v>
      </c>
      <c r="C526" t="s">
        <v>283</v>
      </c>
      <c r="D526" s="85">
        <v>-2114</v>
      </c>
      <c r="E526" s="85">
        <v>2114</v>
      </c>
      <c r="F526" s="85">
        <v>0</v>
      </c>
      <c r="G526" s="85">
        <v>0</v>
      </c>
    </row>
    <row r="527" spans="1:7" x14ac:dyDescent="0.25">
      <c r="A527" t="s">
        <v>2843</v>
      </c>
      <c r="B527" t="s">
        <v>2844</v>
      </c>
      <c r="C527" t="s">
        <v>283</v>
      </c>
      <c r="D527" s="85">
        <v>-13889.8</v>
      </c>
      <c r="E527" s="85">
        <v>13889.8</v>
      </c>
      <c r="F527" s="85">
        <v>0</v>
      </c>
      <c r="G527" s="85">
        <v>0</v>
      </c>
    </row>
    <row r="528" spans="1:7" x14ac:dyDescent="0.25">
      <c r="A528" t="s">
        <v>2845</v>
      </c>
      <c r="B528" t="s">
        <v>2846</v>
      </c>
      <c r="C528" t="s">
        <v>283</v>
      </c>
      <c r="D528" s="85">
        <v>0</v>
      </c>
      <c r="E528" s="85">
        <v>105</v>
      </c>
      <c r="F528" s="85">
        <v>105</v>
      </c>
      <c r="G528" s="85">
        <v>0</v>
      </c>
    </row>
    <row r="529" spans="1:7" x14ac:dyDescent="0.25">
      <c r="A529" t="s">
        <v>2847</v>
      </c>
      <c r="B529" t="s">
        <v>2848</v>
      </c>
      <c r="C529" t="s">
        <v>283</v>
      </c>
      <c r="D529" s="85">
        <v>0</v>
      </c>
      <c r="E529" s="85">
        <v>0</v>
      </c>
      <c r="F529" s="85">
        <v>2334.65</v>
      </c>
      <c r="G529" s="85">
        <v>-2334.65</v>
      </c>
    </row>
    <row r="530" spans="1:7" x14ac:dyDescent="0.25">
      <c r="A530" t="s">
        <v>2849</v>
      </c>
      <c r="B530" t="s">
        <v>2850</v>
      </c>
      <c r="C530" t="s">
        <v>283</v>
      </c>
      <c r="D530" s="85">
        <v>0</v>
      </c>
      <c r="E530" s="85">
        <v>0</v>
      </c>
      <c r="F530" s="85">
        <v>3763.2</v>
      </c>
      <c r="G530" s="85">
        <v>-3763.2</v>
      </c>
    </row>
    <row r="531" spans="1:7" x14ac:dyDescent="0.25">
      <c r="A531" t="s">
        <v>2851</v>
      </c>
      <c r="B531" t="s">
        <v>2852</v>
      </c>
      <c r="C531" t="s">
        <v>283</v>
      </c>
      <c r="D531" s="85">
        <v>0</v>
      </c>
      <c r="E531" s="85">
        <v>0</v>
      </c>
      <c r="F531" s="85">
        <v>8436</v>
      </c>
      <c r="G531" s="85">
        <v>-8436</v>
      </c>
    </row>
    <row r="532" spans="1:7" x14ac:dyDescent="0.25">
      <c r="A532" t="s">
        <v>915</v>
      </c>
      <c r="B532" t="s">
        <v>912</v>
      </c>
      <c r="C532" t="s">
        <v>271</v>
      </c>
      <c r="D532" s="85">
        <v>-320388.34999999998</v>
      </c>
      <c r="E532" s="85">
        <v>456272.26</v>
      </c>
      <c r="F532" s="85">
        <v>488028.7</v>
      </c>
      <c r="G532" s="85">
        <v>-352144.79</v>
      </c>
    </row>
    <row r="533" spans="1:7" x14ac:dyDescent="0.25">
      <c r="A533" t="s">
        <v>916</v>
      </c>
      <c r="B533" t="s">
        <v>917</v>
      </c>
      <c r="C533" t="s">
        <v>283</v>
      </c>
      <c r="D533" s="85">
        <v>0</v>
      </c>
      <c r="E533" s="85">
        <v>1083.5</v>
      </c>
      <c r="F533" s="85">
        <v>1083.5</v>
      </c>
      <c r="G533" s="85">
        <v>0</v>
      </c>
    </row>
    <row r="534" spans="1:7" x14ac:dyDescent="0.25">
      <c r="A534" t="s">
        <v>918</v>
      </c>
      <c r="B534" t="s">
        <v>919</v>
      </c>
      <c r="C534" t="s">
        <v>283</v>
      </c>
      <c r="D534" s="85">
        <v>0</v>
      </c>
      <c r="E534" s="85">
        <v>769.49</v>
      </c>
      <c r="F534" s="85">
        <v>769.49</v>
      </c>
      <c r="G534" s="85">
        <v>0</v>
      </c>
    </row>
    <row r="535" spans="1:7" x14ac:dyDescent="0.25">
      <c r="A535" t="s">
        <v>920</v>
      </c>
      <c r="B535" t="s">
        <v>921</v>
      </c>
      <c r="C535" t="s">
        <v>283</v>
      </c>
      <c r="D535" s="85">
        <v>-135</v>
      </c>
      <c r="E535" s="85">
        <v>135</v>
      </c>
      <c r="F535" s="85">
        <v>50</v>
      </c>
      <c r="G535" s="85">
        <v>-50</v>
      </c>
    </row>
    <row r="536" spans="1:7" x14ac:dyDescent="0.25">
      <c r="A536" t="s">
        <v>2853</v>
      </c>
      <c r="B536" t="s">
        <v>2854</v>
      </c>
      <c r="C536" t="s">
        <v>283</v>
      </c>
      <c r="D536" s="85">
        <v>0</v>
      </c>
      <c r="E536" s="85">
        <v>1769.07</v>
      </c>
      <c r="F536" s="85">
        <v>1769.07</v>
      </c>
      <c r="G536" s="85">
        <v>0</v>
      </c>
    </row>
    <row r="537" spans="1:7" x14ac:dyDescent="0.25">
      <c r="A537" t="s">
        <v>2855</v>
      </c>
      <c r="B537" t="s">
        <v>2856</v>
      </c>
      <c r="C537" t="s">
        <v>283</v>
      </c>
      <c r="D537" s="85">
        <v>0</v>
      </c>
      <c r="E537" s="85">
        <v>0</v>
      </c>
      <c r="F537" s="85">
        <v>2200</v>
      </c>
      <c r="G537" s="85">
        <v>-2200</v>
      </c>
    </row>
    <row r="538" spans="1:7" x14ac:dyDescent="0.25">
      <c r="A538" t="s">
        <v>922</v>
      </c>
      <c r="B538" t="s">
        <v>2857</v>
      </c>
      <c r="C538" t="s">
        <v>283</v>
      </c>
      <c r="D538" s="85">
        <v>0</v>
      </c>
      <c r="E538" s="85">
        <v>21.22</v>
      </c>
      <c r="F538" s="85">
        <v>42.44</v>
      </c>
      <c r="G538" s="85">
        <v>-21.22</v>
      </c>
    </row>
    <row r="539" spans="1:7" x14ac:dyDescent="0.25">
      <c r="A539" t="s">
        <v>2858</v>
      </c>
      <c r="B539" t="s">
        <v>2859</v>
      </c>
      <c r="C539" t="s">
        <v>283</v>
      </c>
      <c r="D539" s="85">
        <v>0</v>
      </c>
      <c r="E539" s="85">
        <v>16.899999999999999</v>
      </c>
      <c r="F539" s="85">
        <v>16.899999999999999</v>
      </c>
      <c r="G539" s="85">
        <v>0</v>
      </c>
    </row>
    <row r="540" spans="1:7" x14ac:dyDescent="0.25">
      <c r="A540" t="s">
        <v>923</v>
      </c>
      <c r="B540" t="s">
        <v>924</v>
      </c>
      <c r="C540" t="s">
        <v>283</v>
      </c>
      <c r="D540" s="85">
        <v>0</v>
      </c>
      <c r="E540" s="85">
        <v>6018.98</v>
      </c>
      <c r="F540" s="85">
        <v>6018.98</v>
      </c>
      <c r="G540" s="85">
        <v>0</v>
      </c>
    </row>
    <row r="541" spans="1:7" x14ac:dyDescent="0.25">
      <c r="A541" t="s">
        <v>925</v>
      </c>
      <c r="B541" t="s">
        <v>518</v>
      </c>
      <c r="C541" t="s">
        <v>283</v>
      </c>
      <c r="D541" s="85">
        <v>0</v>
      </c>
      <c r="E541" s="85">
        <v>14602.25</v>
      </c>
      <c r="F541" s="85">
        <v>14602.25</v>
      </c>
      <c r="G541" s="85">
        <v>0</v>
      </c>
    </row>
    <row r="542" spans="1:7" x14ac:dyDescent="0.25">
      <c r="A542" t="s">
        <v>926</v>
      </c>
      <c r="B542" t="s">
        <v>927</v>
      </c>
      <c r="C542" t="s">
        <v>283</v>
      </c>
      <c r="D542" s="85">
        <v>-9981.7199999999993</v>
      </c>
      <c r="E542" s="85">
        <v>9981.7199999999993</v>
      </c>
      <c r="F542" s="85">
        <v>9981.7199999999993</v>
      </c>
      <c r="G542" s="85">
        <v>-9981.7199999999993</v>
      </c>
    </row>
    <row r="543" spans="1:7" x14ac:dyDescent="0.25">
      <c r="A543" t="s">
        <v>2273</v>
      </c>
      <c r="B543" t="s">
        <v>2274</v>
      </c>
      <c r="C543" t="s">
        <v>283</v>
      </c>
      <c r="D543" s="85">
        <v>0</v>
      </c>
      <c r="E543" s="85">
        <v>155.68</v>
      </c>
      <c r="F543" s="85">
        <v>155.68</v>
      </c>
      <c r="G543" s="85">
        <v>0</v>
      </c>
    </row>
    <row r="544" spans="1:7" x14ac:dyDescent="0.25">
      <c r="A544" t="s">
        <v>2860</v>
      </c>
      <c r="B544" t="s">
        <v>2861</v>
      </c>
      <c r="C544" t="s">
        <v>283</v>
      </c>
      <c r="D544" s="85">
        <v>0</v>
      </c>
      <c r="E544" s="85">
        <v>12.1</v>
      </c>
      <c r="F544" s="85">
        <v>12.1</v>
      </c>
      <c r="G544" s="85">
        <v>0</v>
      </c>
    </row>
    <row r="545" spans="1:7" x14ac:dyDescent="0.25">
      <c r="A545" t="s">
        <v>2862</v>
      </c>
      <c r="B545" t="s">
        <v>2863</v>
      </c>
      <c r="C545" t="s">
        <v>283</v>
      </c>
      <c r="D545" s="85">
        <v>-468.48</v>
      </c>
      <c r="E545" s="85">
        <v>688.08</v>
      </c>
      <c r="F545" s="85">
        <v>219.6</v>
      </c>
      <c r="G545" s="85">
        <v>0</v>
      </c>
    </row>
    <row r="546" spans="1:7" x14ac:dyDescent="0.25">
      <c r="A546" t="s">
        <v>2228</v>
      </c>
      <c r="B546" t="s">
        <v>2229</v>
      </c>
      <c r="C546" t="s">
        <v>283</v>
      </c>
      <c r="D546" s="85">
        <v>-1484.99</v>
      </c>
      <c r="E546" s="85">
        <v>2969.98</v>
      </c>
      <c r="F546" s="85">
        <v>1484.99</v>
      </c>
      <c r="G546" s="85">
        <v>0</v>
      </c>
    </row>
    <row r="547" spans="1:7" x14ac:dyDescent="0.25">
      <c r="A547" t="s">
        <v>2216</v>
      </c>
      <c r="B547" t="s">
        <v>2217</v>
      </c>
      <c r="C547" t="s">
        <v>283</v>
      </c>
      <c r="D547" s="85">
        <v>0</v>
      </c>
      <c r="E547" s="85">
        <v>2390.21</v>
      </c>
      <c r="F547" s="85">
        <v>2390.21</v>
      </c>
      <c r="G547" s="85">
        <v>0</v>
      </c>
    </row>
    <row r="548" spans="1:7" x14ac:dyDescent="0.25">
      <c r="A548" t="s">
        <v>2864</v>
      </c>
      <c r="B548" t="s">
        <v>2865</v>
      </c>
      <c r="C548" t="s">
        <v>283</v>
      </c>
      <c r="D548" s="85">
        <v>0</v>
      </c>
      <c r="E548" s="85">
        <v>2000</v>
      </c>
      <c r="F548" s="85">
        <v>2000</v>
      </c>
      <c r="G548" s="85">
        <v>0</v>
      </c>
    </row>
    <row r="549" spans="1:7" x14ac:dyDescent="0.25">
      <c r="A549" t="s">
        <v>2866</v>
      </c>
      <c r="B549" t="s">
        <v>2867</v>
      </c>
      <c r="C549" t="s">
        <v>283</v>
      </c>
      <c r="D549" s="85">
        <v>0</v>
      </c>
      <c r="E549" s="85">
        <v>3.2</v>
      </c>
      <c r="F549" s="85">
        <v>3.2</v>
      </c>
      <c r="G549" s="85">
        <v>0</v>
      </c>
    </row>
    <row r="550" spans="1:7" x14ac:dyDescent="0.25">
      <c r="A550" t="s">
        <v>2868</v>
      </c>
      <c r="B550" t="s">
        <v>2869</v>
      </c>
      <c r="C550" t="s">
        <v>283</v>
      </c>
      <c r="D550" s="85">
        <v>-348.72</v>
      </c>
      <c r="E550" s="85">
        <v>348.72</v>
      </c>
      <c r="F550" s="85">
        <v>340.8</v>
      </c>
      <c r="G550" s="85">
        <v>-340.8</v>
      </c>
    </row>
    <row r="551" spans="1:7" x14ac:dyDescent="0.25">
      <c r="A551" t="s">
        <v>2446</v>
      </c>
      <c r="B551" t="s">
        <v>2447</v>
      </c>
      <c r="C551" t="s">
        <v>283</v>
      </c>
      <c r="D551" s="85">
        <v>0</v>
      </c>
      <c r="E551" s="85">
        <v>42922.82</v>
      </c>
      <c r="F551" s="85">
        <v>162737.01</v>
      </c>
      <c r="G551" s="85">
        <v>-119814.19</v>
      </c>
    </row>
    <row r="552" spans="1:7" x14ac:dyDescent="0.25">
      <c r="A552" t="s">
        <v>2870</v>
      </c>
      <c r="B552" t="s">
        <v>2871</v>
      </c>
      <c r="C552" t="s">
        <v>283</v>
      </c>
      <c r="D552" s="85">
        <v>0</v>
      </c>
      <c r="E552" s="85">
        <v>51.18</v>
      </c>
      <c r="F552" s="85">
        <v>51.18</v>
      </c>
      <c r="G552" s="85">
        <v>0</v>
      </c>
    </row>
    <row r="553" spans="1:7" x14ac:dyDescent="0.25">
      <c r="A553" t="s">
        <v>2448</v>
      </c>
      <c r="B553" t="s">
        <v>2449</v>
      </c>
      <c r="C553" t="s">
        <v>283</v>
      </c>
      <c r="D553" s="85">
        <v>0</v>
      </c>
      <c r="E553" s="85">
        <v>1447.34</v>
      </c>
      <c r="F553" s="85">
        <v>2385.9699999999998</v>
      </c>
      <c r="G553" s="85">
        <v>-938.63</v>
      </c>
    </row>
    <row r="554" spans="1:7" x14ac:dyDescent="0.25">
      <c r="A554" t="s">
        <v>2872</v>
      </c>
      <c r="B554" t="s">
        <v>2873</v>
      </c>
      <c r="C554" t="s">
        <v>283</v>
      </c>
      <c r="D554" s="85">
        <v>0</v>
      </c>
      <c r="E554" s="85">
        <v>10893.69</v>
      </c>
      <c r="F554" s="85">
        <v>10893.69</v>
      </c>
      <c r="G554" s="85">
        <v>0</v>
      </c>
    </row>
    <row r="555" spans="1:7" x14ac:dyDescent="0.25">
      <c r="A555" t="s">
        <v>2874</v>
      </c>
      <c r="B555" t="s">
        <v>2875</v>
      </c>
      <c r="C555" t="s">
        <v>283</v>
      </c>
      <c r="D555" s="85">
        <v>0</v>
      </c>
      <c r="E555" s="85">
        <v>14255.34</v>
      </c>
      <c r="F555" s="85">
        <v>14255.34</v>
      </c>
      <c r="G555" s="85">
        <v>0</v>
      </c>
    </row>
    <row r="556" spans="1:7" x14ac:dyDescent="0.25">
      <c r="A556" t="s">
        <v>2876</v>
      </c>
      <c r="B556" t="s">
        <v>2877</v>
      </c>
      <c r="C556" t="s">
        <v>283</v>
      </c>
      <c r="D556" s="85">
        <v>0</v>
      </c>
      <c r="E556" s="85">
        <v>176.4</v>
      </c>
      <c r="F556" s="85">
        <v>265.08</v>
      </c>
      <c r="G556" s="85">
        <v>-88.68</v>
      </c>
    </row>
    <row r="557" spans="1:7" x14ac:dyDescent="0.25">
      <c r="A557" t="s">
        <v>2230</v>
      </c>
      <c r="B557" t="s">
        <v>2231</v>
      </c>
      <c r="C557" t="s">
        <v>283</v>
      </c>
      <c r="D557" s="85">
        <v>0</v>
      </c>
      <c r="E557" s="85">
        <v>3395.5</v>
      </c>
      <c r="F557" s="85">
        <v>3395.5</v>
      </c>
      <c r="G557" s="85">
        <v>0</v>
      </c>
    </row>
    <row r="558" spans="1:7" x14ac:dyDescent="0.25">
      <c r="A558" t="s">
        <v>2450</v>
      </c>
      <c r="B558" t="s">
        <v>2451</v>
      </c>
      <c r="C558" t="s">
        <v>283</v>
      </c>
      <c r="D558" s="85">
        <v>0</v>
      </c>
      <c r="E558" s="85">
        <v>123.53</v>
      </c>
      <c r="F558" s="85">
        <v>123.53</v>
      </c>
      <c r="G558" s="85">
        <v>0</v>
      </c>
    </row>
    <row r="559" spans="1:7" x14ac:dyDescent="0.25">
      <c r="A559" t="s">
        <v>2452</v>
      </c>
      <c r="B559" t="s">
        <v>2453</v>
      </c>
      <c r="C559" t="s">
        <v>283</v>
      </c>
      <c r="D559" s="85">
        <v>-26400</v>
      </c>
      <c r="E559" s="85">
        <v>0</v>
      </c>
      <c r="F559" s="85">
        <v>0</v>
      </c>
      <c r="G559" s="85">
        <v>-26400</v>
      </c>
    </row>
    <row r="560" spans="1:7" x14ac:dyDescent="0.25">
      <c r="A560" t="s">
        <v>2878</v>
      </c>
      <c r="B560" t="s">
        <v>2879</v>
      </c>
      <c r="C560" t="s">
        <v>283</v>
      </c>
      <c r="D560" s="85">
        <v>-166.23</v>
      </c>
      <c r="E560" s="85">
        <v>166.23</v>
      </c>
      <c r="F560" s="85">
        <v>0</v>
      </c>
      <c r="G560" s="85">
        <v>0</v>
      </c>
    </row>
    <row r="561" spans="1:7" x14ac:dyDescent="0.25">
      <c r="A561" t="s">
        <v>928</v>
      </c>
      <c r="B561" t="s">
        <v>2275</v>
      </c>
      <c r="C561" t="s">
        <v>283</v>
      </c>
      <c r="D561" s="85">
        <v>0</v>
      </c>
      <c r="E561" s="85">
        <v>36.65</v>
      </c>
      <c r="F561" s="85">
        <v>36.65</v>
      </c>
      <c r="G561" s="85">
        <v>0</v>
      </c>
    </row>
    <row r="562" spans="1:7" x14ac:dyDescent="0.25">
      <c r="A562" t="s">
        <v>929</v>
      </c>
      <c r="B562" t="s">
        <v>930</v>
      </c>
      <c r="C562" t="s">
        <v>283</v>
      </c>
      <c r="D562" s="85">
        <v>-385.8</v>
      </c>
      <c r="E562" s="85">
        <v>385.8</v>
      </c>
      <c r="F562" s="85">
        <v>397.84</v>
      </c>
      <c r="G562" s="85">
        <v>-397.84</v>
      </c>
    </row>
    <row r="563" spans="1:7" x14ac:dyDescent="0.25">
      <c r="A563" t="s">
        <v>931</v>
      </c>
      <c r="B563" t="s">
        <v>932</v>
      </c>
      <c r="C563" t="s">
        <v>283</v>
      </c>
      <c r="D563" s="85">
        <v>-61.36</v>
      </c>
      <c r="E563" s="85">
        <v>61.36</v>
      </c>
      <c r="F563" s="85">
        <v>30.68</v>
      </c>
      <c r="G563" s="85">
        <v>-30.68</v>
      </c>
    </row>
    <row r="564" spans="1:7" x14ac:dyDescent="0.25">
      <c r="A564" t="s">
        <v>2880</v>
      </c>
      <c r="B564" t="s">
        <v>2881</v>
      </c>
      <c r="C564" t="s">
        <v>283</v>
      </c>
      <c r="D564" s="85">
        <v>0</v>
      </c>
      <c r="E564" s="85">
        <v>885.9</v>
      </c>
      <c r="F564" s="85">
        <v>885.9</v>
      </c>
      <c r="G564" s="85">
        <v>0</v>
      </c>
    </row>
    <row r="565" spans="1:7" x14ac:dyDescent="0.25">
      <c r="A565" t="s">
        <v>2454</v>
      </c>
      <c r="B565" t="s">
        <v>2455</v>
      </c>
      <c r="C565" t="s">
        <v>283</v>
      </c>
      <c r="D565" s="85">
        <v>-98858.39</v>
      </c>
      <c r="E565" s="85">
        <v>0</v>
      </c>
      <c r="F565" s="85">
        <v>0</v>
      </c>
      <c r="G565" s="85">
        <v>-98858.39</v>
      </c>
    </row>
    <row r="566" spans="1:7" x14ac:dyDescent="0.25">
      <c r="A566" t="s">
        <v>2456</v>
      </c>
      <c r="B566" t="s">
        <v>2457</v>
      </c>
      <c r="C566" t="s">
        <v>283</v>
      </c>
      <c r="D566" s="85">
        <v>-4472.32</v>
      </c>
      <c r="E566" s="85">
        <v>4472.32</v>
      </c>
      <c r="F566" s="85">
        <v>4472.32</v>
      </c>
      <c r="G566" s="85">
        <v>-4472.32</v>
      </c>
    </row>
    <row r="567" spans="1:7" x14ac:dyDescent="0.25">
      <c r="A567" t="s">
        <v>2882</v>
      </c>
      <c r="B567" t="s">
        <v>2883</v>
      </c>
      <c r="C567" t="s">
        <v>283</v>
      </c>
      <c r="D567" s="85">
        <v>-4678.05</v>
      </c>
      <c r="E567" s="85">
        <v>697.68</v>
      </c>
      <c r="F567" s="85">
        <v>0</v>
      </c>
      <c r="G567" s="85">
        <v>-3980.37</v>
      </c>
    </row>
    <row r="568" spans="1:7" x14ac:dyDescent="0.25">
      <c r="A568" t="s">
        <v>2276</v>
      </c>
      <c r="B568" t="s">
        <v>2277</v>
      </c>
      <c r="C568" t="s">
        <v>283</v>
      </c>
      <c r="D568" s="85">
        <v>-57734.83</v>
      </c>
      <c r="E568" s="85">
        <v>166786.60999999999</v>
      </c>
      <c r="F568" s="85">
        <v>109051.78</v>
      </c>
      <c r="G568" s="85">
        <v>0</v>
      </c>
    </row>
    <row r="569" spans="1:7" x14ac:dyDescent="0.25">
      <c r="A569" t="s">
        <v>2458</v>
      </c>
      <c r="B569" t="s">
        <v>2459</v>
      </c>
      <c r="C569" t="s">
        <v>283</v>
      </c>
      <c r="D569" s="85">
        <v>-216.84</v>
      </c>
      <c r="E569" s="85">
        <v>216.84</v>
      </c>
      <c r="F569" s="85">
        <v>0</v>
      </c>
      <c r="G569" s="85">
        <v>0</v>
      </c>
    </row>
    <row r="570" spans="1:7" x14ac:dyDescent="0.25">
      <c r="A570" t="s">
        <v>2884</v>
      </c>
      <c r="B570" t="s">
        <v>2885</v>
      </c>
      <c r="C570" t="s">
        <v>283</v>
      </c>
      <c r="D570" s="85">
        <v>0</v>
      </c>
      <c r="E570" s="85">
        <v>680</v>
      </c>
      <c r="F570" s="85">
        <v>680</v>
      </c>
      <c r="G570" s="85">
        <v>0</v>
      </c>
    </row>
    <row r="571" spans="1:7" x14ac:dyDescent="0.25">
      <c r="A571" t="s">
        <v>2886</v>
      </c>
      <c r="B571" t="s">
        <v>2887</v>
      </c>
      <c r="C571" t="s">
        <v>283</v>
      </c>
      <c r="D571" s="85">
        <v>-11746.94</v>
      </c>
      <c r="E571" s="85">
        <v>11746.94</v>
      </c>
      <c r="F571" s="85">
        <v>9830.75</v>
      </c>
      <c r="G571" s="85">
        <v>-9830.75</v>
      </c>
    </row>
    <row r="572" spans="1:7" x14ac:dyDescent="0.25">
      <c r="A572" t="s">
        <v>2888</v>
      </c>
      <c r="B572" t="s">
        <v>2889</v>
      </c>
      <c r="C572" t="s">
        <v>283</v>
      </c>
      <c r="D572" s="85">
        <v>-30600</v>
      </c>
      <c r="E572" s="85">
        <v>30600</v>
      </c>
      <c r="F572" s="85">
        <v>0</v>
      </c>
      <c r="G572" s="85">
        <v>0</v>
      </c>
    </row>
    <row r="573" spans="1:7" x14ac:dyDescent="0.25">
      <c r="A573" t="s">
        <v>2890</v>
      </c>
      <c r="B573" t="s">
        <v>2891</v>
      </c>
      <c r="C573" t="s">
        <v>283</v>
      </c>
      <c r="D573" s="85">
        <v>0</v>
      </c>
      <c r="E573" s="85">
        <v>0</v>
      </c>
      <c r="F573" s="85">
        <v>1744.4</v>
      </c>
      <c r="G573" s="85">
        <v>-1744.4</v>
      </c>
    </row>
    <row r="574" spans="1:7" x14ac:dyDescent="0.25">
      <c r="A574" t="s">
        <v>2892</v>
      </c>
      <c r="B574" t="s">
        <v>2893</v>
      </c>
      <c r="C574" t="s">
        <v>283</v>
      </c>
      <c r="D574" s="85">
        <v>0</v>
      </c>
      <c r="E574" s="85">
        <v>5062.08</v>
      </c>
      <c r="F574" s="85">
        <v>5062.08</v>
      </c>
      <c r="G574" s="85">
        <v>0</v>
      </c>
    </row>
    <row r="575" spans="1:7" x14ac:dyDescent="0.25">
      <c r="A575" t="s">
        <v>933</v>
      </c>
      <c r="B575" t="s">
        <v>934</v>
      </c>
      <c r="C575" t="s">
        <v>283</v>
      </c>
      <c r="D575" s="85">
        <v>0</v>
      </c>
      <c r="E575" s="85">
        <v>444.71</v>
      </c>
      <c r="F575" s="85">
        <v>444.71</v>
      </c>
      <c r="G575" s="85">
        <v>0</v>
      </c>
    </row>
    <row r="576" spans="1:7" x14ac:dyDescent="0.25">
      <c r="A576" t="s">
        <v>935</v>
      </c>
      <c r="B576" t="s">
        <v>936</v>
      </c>
      <c r="C576" t="s">
        <v>283</v>
      </c>
      <c r="D576" s="85">
        <v>0</v>
      </c>
      <c r="E576" s="85">
        <v>24838.34</v>
      </c>
      <c r="F576" s="85">
        <v>24838.34</v>
      </c>
      <c r="G576" s="85">
        <v>0</v>
      </c>
    </row>
    <row r="577" spans="1:7" x14ac:dyDescent="0.25">
      <c r="A577" t="s">
        <v>2460</v>
      </c>
      <c r="B577" t="s">
        <v>2461</v>
      </c>
      <c r="C577" t="s">
        <v>283</v>
      </c>
      <c r="D577" s="85">
        <v>-32000</v>
      </c>
      <c r="E577" s="85">
        <v>0</v>
      </c>
      <c r="F577" s="85">
        <v>0</v>
      </c>
      <c r="G577" s="85">
        <v>-32000</v>
      </c>
    </row>
    <row r="578" spans="1:7" x14ac:dyDescent="0.25">
      <c r="A578" t="s">
        <v>2462</v>
      </c>
      <c r="B578" t="s">
        <v>2463</v>
      </c>
      <c r="C578" t="s">
        <v>283</v>
      </c>
      <c r="D578" s="85">
        <v>0</v>
      </c>
      <c r="E578" s="85">
        <v>136</v>
      </c>
      <c r="F578" s="85">
        <v>136</v>
      </c>
      <c r="G578" s="85">
        <v>0</v>
      </c>
    </row>
    <row r="579" spans="1:7" x14ac:dyDescent="0.25">
      <c r="A579" t="s">
        <v>2894</v>
      </c>
      <c r="B579" t="s">
        <v>2895</v>
      </c>
      <c r="C579" t="s">
        <v>283</v>
      </c>
      <c r="D579" s="85">
        <v>-38687.74</v>
      </c>
      <c r="E579" s="85">
        <v>71050.84</v>
      </c>
      <c r="F579" s="85">
        <v>71396.960000000006</v>
      </c>
      <c r="G579" s="85">
        <v>-39033.86</v>
      </c>
    </row>
    <row r="580" spans="1:7" x14ac:dyDescent="0.25">
      <c r="A580" t="s">
        <v>2896</v>
      </c>
      <c r="B580" t="s">
        <v>2897</v>
      </c>
      <c r="C580" t="s">
        <v>283</v>
      </c>
      <c r="D580" s="85">
        <v>0</v>
      </c>
      <c r="E580" s="85">
        <v>4223.25</v>
      </c>
      <c r="F580" s="85">
        <v>4223.25</v>
      </c>
      <c r="G580" s="85">
        <v>0</v>
      </c>
    </row>
    <row r="581" spans="1:7" x14ac:dyDescent="0.25">
      <c r="A581" t="s">
        <v>937</v>
      </c>
      <c r="B581" t="s">
        <v>938</v>
      </c>
      <c r="C581" t="s">
        <v>283</v>
      </c>
      <c r="D581" s="85">
        <v>0</v>
      </c>
      <c r="E581" s="85">
        <v>550</v>
      </c>
      <c r="F581" s="85">
        <v>550</v>
      </c>
      <c r="G581" s="85">
        <v>0</v>
      </c>
    </row>
    <row r="582" spans="1:7" x14ac:dyDescent="0.25">
      <c r="A582" t="s">
        <v>939</v>
      </c>
      <c r="B582" t="s">
        <v>940</v>
      </c>
      <c r="C582" t="s">
        <v>283</v>
      </c>
      <c r="D582" s="85">
        <v>0</v>
      </c>
      <c r="E582" s="85">
        <v>16910.03</v>
      </c>
      <c r="F582" s="85">
        <v>16910.03</v>
      </c>
      <c r="G582" s="85">
        <v>0</v>
      </c>
    </row>
    <row r="583" spans="1:7" x14ac:dyDescent="0.25">
      <c r="A583" t="s">
        <v>941</v>
      </c>
      <c r="B583" t="s">
        <v>942</v>
      </c>
      <c r="C583" t="s">
        <v>283</v>
      </c>
      <c r="D583" s="85">
        <v>-1960.94</v>
      </c>
      <c r="E583" s="85">
        <v>0</v>
      </c>
      <c r="F583" s="85">
        <v>0</v>
      </c>
      <c r="G583" s="85">
        <v>-1960.94</v>
      </c>
    </row>
    <row r="584" spans="1:7" x14ac:dyDescent="0.25">
      <c r="A584" t="s">
        <v>2898</v>
      </c>
      <c r="B584" t="s">
        <v>2899</v>
      </c>
      <c r="C584" t="s">
        <v>283</v>
      </c>
      <c r="D584" s="85">
        <v>0</v>
      </c>
      <c r="E584" s="85">
        <v>88.78</v>
      </c>
      <c r="F584" s="85">
        <v>88.78</v>
      </c>
      <c r="G584" s="85">
        <v>0</v>
      </c>
    </row>
    <row r="585" spans="1:7" x14ac:dyDescent="0.25">
      <c r="A585" t="s">
        <v>943</v>
      </c>
      <c r="B585" t="s">
        <v>302</v>
      </c>
      <c r="C585" t="s">
        <v>271</v>
      </c>
      <c r="D585" s="85">
        <v>-50555.15</v>
      </c>
      <c r="E585" s="85">
        <v>0</v>
      </c>
      <c r="F585" s="85">
        <v>44596.58</v>
      </c>
      <c r="G585" s="85">
        <v>-95151.73</v>
      </c>
    </row>
    <row r="586" spans="1:7" x14ac:dyDescent="0.25">
      <c r="A586" t="s">
        <v>944</v>
      </c>
      <c r="B586" t="s">
        <v>945</v>
      </c>
      <c r="C586" t="s">
        <v>283</v>
      </c>
      <c r="D586" s="85">
        <v>-50555.15</v>
      </c>
      <c r="E586" s="85">
        <v>0</v>
      </c>
      <c r="F586" s="85">
        <v>44596.58</v>
      </c>
      <c r="G586" s="85">
        <v>-95151.73</v>
      </c>
    </row>
    <row r="587" spans="1:7" x14ac:dyDescent="0.25">
      <c r="A587" t="s">
        <v>946</v>
      </c>
      <c r="B587" t="s">
        <v>947</v>
      </c>
      <c r="C587" t="s">
        <v>271</v>
      </c>
      <c r="D587" s="85">
        <v>-5716412.0999999996</v>
      </c>
      <c r="E587" s="85">
        <v>8075967.4800000004</v>
      </c>
      <c r="F587" s="85">
        <v>6668026.6600000001</v>
      </c>
      <c r="G587" s="85">
        <v>-4308471.28</v>
      </c>
    </row>
    <row r="588" spans="1:7" x14ac:dyDescent="0.25">
      <c r="A588" t="s">
        <v>948</v>
      </c>
      <c r="B588" t="s">
        <v>947</v>
      </c>
      <c r="C588" t="s">
        <v>271</v>
      </c>
      <c r="D588" s="85">
        <v>-5716412.0999999996</v>
      </c>
      <c r="E588" s="85">
        <v>8075967.4800000004</v>
      </c>
      <c r="F588" s="85">
        <v>6668026.6600000001</v>
      </c>
      <c r="G588" s="85">
        <v>-4308471.28</v>
      </c>
    </row>
    <row r="589" spans="1:7" x14ac:dyDescent="0.25">
      <c r="A589" t="s">
        <v>949</v>
      </c>
      <c r="B589" t="s">
        <v>947</v>
      </c>
      <c r="C589" t="s">
        <v>271</v>
      </c>
      <c r="D589" s="85">
        <v>-5716412.0999999996</v>
      </c>
      <c r="E589" s="85">
        <v>8075967.4800000004</v>
      </c>
      <c r="F589" s="85">
        <v>6668026.6600000001</v>
      </c>
      <c r="G589" s="85">
        <v>-4308471.28</v>
      </c>
    </row>
    <row r="590" spans="1:7" x14ac:dyDescent="0.25">
      <c r="A590" t="s">
        <v>950</v>
      </c>
      <c r="B590" t="s">
        <v>947</v>
      </c>
      <c r="C590" t="s">
        <v>271</v>
      </c>
      <c r="D590" s="85">
        <v>-5716412.0999999996</v>
      </c>
      <c r="E590" s="85">
        <v>8075967.4800000004</v>
      </c>
      <c r="F590" s="85">
        <v>6668026.6600000001</v>
      </c>
      <c r="G590" s="85">
        <v>-4308471.28</v>
      </c>
    </row>
    <row r="591" spans="1:7" x14ac:dyDescent="0.25">
      <c r="A591" t="s">
        <v>951</v>
      </c>
      <c r="B591" t="s">
        <v>952</v>
      </c>
      <c r="C591" t="s">
        <v>283</v>
      </c>
      <c r="D591" s="85">
        <v>-2744210.61</v>
      </c>
      <c r="E591" s="85">
        <v>2744210.61</v>
      </c>
      <c r="F591" s="85">
        <v>4308471.28</v>
      </c>
      <c r="G591" s="85">
        <v>-4308471.28</v>
      </c>
    </row>
    <row r="592" spans="1:7" x14ac:dyDescent="0.25">
      <c r="A592" t="s">
        <v>2464</v>
      </c>
      <c r="B592" t="s">
        <v>2465</v>
      </c>
      <c r="C592" t="s">
        <v>283</v>
      </c>
      <c r="D592" s="85">
        <v>0</v>
      </c>
      <c r="E592" s="85">
        <v>590601.97</v>
      </c>
      <c r="F592" s="85">
        <v>590601.97</v>
      </c>
      <c r="G592" s="85">
        <v>0</v>
      </c>
    </row>
    <row r="593" spans="1:7" x14ac:dyDescent="0.25">
      <c r="A593" t="s">
        <v>953</v>
      </c>
      <c r="B593" t="s">
        <v>336</v>
      </c>
      <c r="C593" t="s">
        <v>283</v>
      </c>
      <c r="D593" s="85">
        <v>0</v>
      </c>
      <c r="E593" s="85">
        <v>658197.01</v>
      </c>
      <c r="F593" s="85">
        <v>658197.01</v>
      </c>
      <c r="G593" s="85">
        <v>0</v>
      </c>
    </row>
    <row r="594" spans="1:7" x14ac:dyDescent="0.25">
      <c r="A594" t="s">
        <v>2466</v>
      </c>
      <c r="B594" t="s">
        <v>2900</v>
      </c>
      <c r="C594" t="s">
        <v>283</v>
      </c>
      <c r="D594" s="85">
        <v>-2972201.49</v>
      </c>
      <c r="E594" s="85">
        <v>3160356.5</v>
      </c>
      <c r="F594" s="85">
        <v>188155.01</v>
      </c>
      <c r="G594" s="85">
        <v>0</v>
      </c>
    </row>
    <row r="595" spans="1:7" x14ac:dyDescent="0.25">
      <c r="A595" t="s">
        <v>2901</v>
      </c>
      <c r="B595" t="s">
        <v>2774</v>
      </c>
      <c r="C595" t="s">
        <v>283</v>
      </c>
      <c r="D595" s="85">
        <v>0</v>
      </c>
      <c r="E595" s="85">
        <v>68014.289999999994</v>
      </c>
      <c r="F595" s="85">
        <v>68014.289999999994</v>
      </c>
      <c r="G595" s="85">
        <v>0</v>
      </c>
    </row>
    <row r="596" spans="1:7" x14ac:dyDescent="0.25">
      <c r="A596" t="s">
        <v>2902</v>
      </c>
      <c r="B596" t="s">
        <v>2903</v>
      </c>
      <c r="C596" t="s">
        <v>283</v>
      </c>
      <c r="D596" s="85">
        <v>0</v>
      </c>
      <c r="E596" s="85">
        <v>64524.36</v>
      </c>
      <c r="F596" s="85">
        <v>64524.36</v>
      </c>
      <c r="G596" s="85">
        <v>0</v>
      </c>
    </row>
    <row r="597" spans="1:7" x14ac:dyDescent="0.25">
      <c r="A597" t="s">
        <v>2904</v>
      </c>
      <c r="B597" t="s">
        <v>2905</v>
      </c>
      <c r="C597" t="s">
        <v>283</v>
      </c>
      <c r="D597" s="85">
        <v>0</v>
      </c>
      <c r="E597" s="85">
        <v>327390.74</v>
      </c>
      <c r="F597" s="85">
        <v>327390.74</v>
      </c>
      <c r="G597" s="85">
        <v>0</v>
      </c>
    </row>
    <row r="598" spans="1:7" x14ac:dyDescent="0.25">
      <c r="A598" t="s">
        <v>2906</v>
      </c>
      <c r="B598" t="s">
        <v>2263</v>
      </c>
      <c r="C598" t="s">
        <v>283</v>
      </c>
      <c r="D598" s="85">
        <v>0</v>
      </c>
      <c r="E598" s="85">
        <v>462672</v>
      </c>
      <c r="F598" s="85">
        <v>462672</v>
      </c>
      <c r="G598" s="85">
        <v>0</v>
      </c>
    </row>
    <row r="599" spans="1:7" x14ac:dyDescent="0.25">
      <c r="A599" t="s">
        <v>954</v>
      </c>
      <c r="B599" t="s">
        <v>955</v>
      </c>
      <c r="C599" t="s">
        <v>271</v>
      </c>
      <c r="D599" s="85">
        <v>-1188062.8799999999</v>
      </c>
      <c r="E599" s="85">
        <v>1435926.42</v>
      </c>
      <c r="F599" s="85">
        <v>1115631.03</v>
      </c>
      <c r="G599" s="85">
        <v>-867767.49</v>
      </c>
    </row>
    <row r="600" spans="1:7" x14ac:dyDescent="0.25">
      <c r="A600" t="s">
        <v>956</v>
      </c>
      <c r="B600" t="s">
        <v>957</v>
      </c>
      <c r="C600" t="s">
        <v>271</v>
      </c>
      <c r="D600" s="85">
        <v>-1188062.8799999999</v>
      </c>
      <c r="E600" s="85">
        <v>1435926.42</v>
      </c>
      <c r="F600" s="85">
        <v>1115631.03</v>
      </c>
      <c r="G600" s="85">
        <v>-867767.49</v>
      </c>
    </row>
    <row r="601" spans="1:7" x14ac:dyDescent="0.25">
      <c r="A601" t="s">
        <v>958</v>
      </c>
      <c r="B601" t="s">
        <v>959</v>
      </c>
      <c r="C601" t="s">
        <v>271</v>
      </c>
      <c r="D601" s="85">
        <v>-899057.2</v>
      </c>
      <c r="E601" s="85">
        <v>781200.96</v>
      </c>
      <c r="F601" s="85">
        <v>437159.19</v>
      </c>
      <c r="G601" s="85">
        <v>-555015.43000000005</v>
      </c>
    </row>
    <row r="602" spans="1:7" x14ac:dyDescent="0.25">
      <c r="A602" t="s">
        <v>960</v>
      </c>
      <c r="B602" t="s">
        <v>959</v>
      </c>
      <c r="C602" t="s">
        <v>271</v>
      </c>
      <c r="D602" s="85">
        <v>-899057.2</v>
      </c>
      <c r="E602" s="85">
        <v>781200.96</v>
      </c>
      <c r="F602" s="85">
        <v>437159.19</v>
      </c>
      <c r="G602" s="85">
        <v>-555015.43000000005</v>
      </c>
    </row>
    <row r="603" spans="1:7" x14ac:dyDescent="0.25">
      <c r="A603" t="s">
        <v>961</v>
      </c>
      <c r="B603" t="s">
        <v>959</v>
      </c>
      <c r="C603" t="s">
        <v>271</v>
      </c>
      <c r="D603" s="85">
        <v>-898749.91</v>
      </c>
      <c r="E603" s="85">
        <v>780893.67</v>
      </c>
      <c r="F603" s="85">
        <v>437159.19</v>
      </c>
      <c r="G603" s="85">
        <v>-555015.43000000005</v>
      </c>
    </row>
    <row r="604" spans="1:7" x14ac:dyDescent="0.25">
      <c r="A604" t="s">
        <v>962</v>
      </c>
      <c r="B604" t="s">
        <v>963</v>
      </c>
      <c r="C604" t="s">
        <v>283</v>
      </c>
      <c r="D604" s="85">
        <v>0</v>
      </c>
      <c r="E604" s="85">
        <v>236232.61</v>
      </c>
      <c r="F604" s="85">
        <v>236232.61</v>
      </c>
      <c r="G604" s="85">
        <v>0</v>
      </c>
    </row>
    <row r="605" spans="1:7" x14ac:dyDescent="0.25">
      <c r="A605" t="s">
        <v>964</v>
      </c>
      <c r="B605" t="s">
        <v>2279</v>
      </c>
      <c r="C605" t="s">
        <v>283</v>
      </c>
      <c r="D605" s="85">
        <v>0</v>
      </c>
      <c r="E605" s="85">
        <v>106099.03</v>
      </c>
      <c r="F605" s="85">
        <v>106099.03</v>
      </c>
      <c r="G605" s="85">
        <v>0</v>
      </c>
    </row>
    <row r="606" spans="1:7" x14ac:dyDescent="0.25">
      <c r="A606" t="s">
        <v>965</v>
      </c>
      <c r="B606" t="s">
        <v>966</v>
      </c>
      <c r="C606" t="s">
        <v>283</v>
      </c>
      <c r="D606" s="85">
        <v>-424183.34</v>
      </c>
      <c r="E606" s="85">
        <v>43934.43</v>
      </c>
      <c r="F606" s="85">
        <v>30077.32</v>
      </c>
      <c r="G606" s="85">
        <v>-410326.23</v>
      </c>
    </row>
    <row r="607" spans="1:7" x14ac:dyDescent="0.25">
      <c r="A607" t="s">
        <v>967</v>
      </c>
      <c r="B607" t="s">
        <v>968</v>
      </c>
      <c r="C607" t="s">
        <v>283</v>
      </c>
      <c r="D607" s="85">
        <v>-114054.02</v>
      </c>
      <c r="E607" s="85">
        <v>9593.4</v>
      </c>
      <c r="F607" s="85">
        <v>7490.4</v>
      </c>
      <c r="G607" s="85">
        <v>-111951.02</v>
      </c>
    </row>
    <row r="608" spans="1:7" x14ac:dyDescent="0.25">
      <c r="A608" t="s">
        <v>969</v>
      </c>
      <c r="B608" t="s">
        <v>970</v>
      </c>
      <c r="C608" t="s">
        <v>283</v>
      </c>
      <c r="D608" s="85">
        <v>-33352.5</v>
      </c>
      <c r="E608" s="85">
        <v>2809.25</v>
      </c>
      <c r="F608" s="85">
        <v>2194.9299999999998</v>
      </c>
      <c r="G608" s="85">
        <v>-32738.18</v>
      </c>
    </row>
    <row r="609" spans="1:7" x14ac:dyDescent="0.25">
      <c r="A609" t="s">
        <v>2907</v>
      </c>
      <c r="B609" t="s">
        <v>2908</v>
      </c>
      <c r="C609" t="s">
        <v>283</v>
      </c>
      <c r="D609" s="85">
        <v>0</v>
      </c>
      <c r="E609" s="85">
        <v>923.08</v>
      </c>
      <c r="F609" s="85">
        <v>923.08</v>
      </c>
      <c r="G609" s="85">
        <v>0</v>
      </c>
    </row>
    <row r="610" spans="1:7" x14ac:dyDescent="0.25">
      <c r="A610" t="s">
        <v>971</v>
      </c>
      <c r="B610" t="s">
        <v>972</v>
      </c>
      <c r="C610" t="s">
        <v>283</v>
      </c>
      <c r="D610" s="85">
        <v>0</v>
      </c>
      <c r="E610" s="85">
        <v>2000</v>
      </c>
      <c r="F610" s="85">
        <v>2000</v>
      </c>
      <c r="G610" s="85">
        <v>0</v>
      </c>
    </row>
    <row r="611" spans="1:7" x14ac:dyDescent="0.25">
      <c r="A611" t="s">
        <v>973</v>
      </c>
      <c r="B611" t="s">
        <v>974</v>
      </c>
      <c r="C611" t="s">
        <v>283</v>
      </c>
      <c r="D611" s="85">
        <v>-249604.93</v>
      </c>
      <c r="E611" s="85">
        <v>288147.92</v>
      </c>
      <c r="F611" s="85">
        <v>38542.99</v>
      </c>
      <c r="G611" s="85">
        <v>0</v>
      </c>
    </row>
    <row r="612" spans="1:7" x14ac:dyDescent="0.25">
      <c r="A612" t="s">
        <v>975</v>
      </c>
      <c r="B612" t="s">
        <v>976</v>
      </c>
      <c r="C612" t="s">
        <v>283</v>
      </c>
      <c r="D612" s="85">
        <v>-68142.14</v>
      </c>
      <c r="E612" s="85">
        <v>78664.33</v>
      </c>
      <c r="F612" s="85">
        <v>10522.19</v>
      </c>
      <c r="G612" s="85">
        <v>0</v>
      </c>
    </row>
    <row r="613" spans="1:7" x14ac:dyDescent="0.25">
      <c r="A613" t="s">
        <v>977</v>
      </c>
      <c r="B613" t="s">
        <v>978</v>
      </c>
      <c r="C613" t="s">
        <v>283</v>
      </c>
      <c r="D613" s="85">
        <v>-9412.98</v>
      </c>
      <c r="E613" s="85">
        <v>12489.62</v>
      </c>
      <c r="F613" s="85">
        <v>3076.64</v>
      </c>
      <c r="G613" s="85">
        <v>0</v>
      </c>
    </row>
    <row r="614" spans="1:7" x14ac:dyDescent="0.25">
      <c r="A614" t="s">
        <v>2909</v>
      </c>
      <c r="B614" t="s">
        <v>302</v>
      </c>
      <c r="C614" t="s">
        <v>271</v>
      </c>
      <c r="D614" s="85">
        <v>-307.29000000000002</v>
      </c>
      <c r="E614" s="85">
        <v>307.29000000000002</v>
      </c>
      <c r="F614" s="85">
        <v>0</v>
      </c>
      <c r="G614" s="85">
        <v>0</v>
      </c>
    </row>
    <row r="615" spans="1:7" x14ac:dyDescent="0.25">
      <c r="A615" t="s">
        <v>2910</v>
      </c>
      <c r="B615" t="s">
        <v>957</v>
      </c>
      <c r="C615" t="s">
        <v>283</v>
      </c>
      <c r="D615" s="85">
        <v>-307.29000000000002</v>
      </c>
      <c r="E615" s="85">
        <v>307.29000000000002</v>
      </c>
      <c r="F615" s="85">
        <v>0</v>
      </c>
      <c r="G615" s="85">
        <v>0</v>
      </c>
    </row>
    <row r="616" spans="1:7" x14ac:dyDescent="0.25">
      <c r="A616" t="s">
        <v>979</v>
      </c>
      <c r="B616" t="s">
        <v>980</v>
      </c>
      <c r="C616" t="s">
        <v>271</v>
      </c>
      <c r="D616" s="85">
        <v>0</v>
      </c>
      <c r="E616" s="85">
        <v>312526.34999999998</v>
      </c>
      <c r="F616" s="85">
        <v>312526.34999999998</v>
      </c>
      <c r="G616" s="85">
        <v>0</v>
      </c>
    </row>
    <row r="617" spans="1:7" x14ac:dyDescent="0.25">
      <c r="A617" t="s">
        <v>981</v>
      </c>
      <c r="B617" t="s">
        <v>980</v>
      </c>
      <c r="C617" t="s">
        <v>271</v>
      </c>
      <c r="D617" s="85">
        <v>0</v>
      </c>
      <c r="E617" s="85">
        <v>312526.34999999998</v>
      </c>
      <c r="F617" s="85">
        <v>312526.34999999998</v>
      </c>
      <c r="G617" s="85">
        <v>0</v>
      </c>
    </row>
    <row r="618" spans="1:7" x14ac:dyDescent="0.25">
      <c r="A618" t="s">
        <v>982</v>
      </c>
      <c r="B618" t="s">
        <v>980</v>
      </c>
      <c r="C618" t="s">
        <v>271</v>
      </c>
      <c r="D618" s="85">
        <v>0</v>
      </c>
      <c r="E618" s="85">
        <v>312526.34999999998</v>
      </c>
      <c r="F618" s="85">
        <v>312526.34999999998</v>
      </c>
      <c r="G618" s="85">
        <v>0</v>
      </c>
    </row>
    <row r="619" spans="1:7" x14ac:dyDescent="0.25">
      <c r="A619" t="s">
        <v>983</v>
      </c>
      <c r="B619" t="s">
        <v>984</v>
      </c>
      <c r="C619" t="s">
        <v>283</v>
      </c>
      <c r="D619" s="85">
        <v>0</v>
      </c>
      <c r="E619" s="85">
        <v>239554.32</v>
      </c>
      <c r="F619" s="85">
        <v>239554.32</v>
      </c>
      <c r="G619" s="85">
        <v>0</v>
      </c>
    </row>
    <row r="620" spans="1:7" x14ac:dyDescent="0.25">
      <c r="A620" t="s">
        <v>2233</v>
      </c>
      <c r="B620" t="s">
        <v>2234</v>
      </c>
      <c r="C620" t="s">
        <v>283</v>
      </c>
      <c r="D620" s="85">
        <v>0</v>
      </c>
      <c r="E620" s="85">
        <v>72972.03</v>
      </c>
      <c r="F620" s="85">
        <v>72972.03</v>
      </c>
      <c r="G620" s="85">
        <v>0</v>
      </c>
    </row>
    <row r="621" spans="1:7" x14ac:dyDescent="0.25">
      <c r="A621" t="s">
        <v>985</v>
      </c>
      <c r="B621" t="s">
        <v>986</v>
      </c>
      <c r="C621" t="s">
        <v>271</v>
      </c>
      <c r="D621" s="85">
        <v>0</v>
      </c>
      <c r="E621" s="85">
        <v>102410.4</v>
      </c>
      <c r="F621" s="85">
        <v>102410.4</v>
      </c>
      <c r="G621" s="85">
        <v>0</v>
      </c>
    </row>
    <row r="622" spans="1:7" x14ac:dyDescent="0.25">
      <c r="A622" t="s">
        <v>987</v>
      </c>
      <c r="B622" t="s">
        <v>986</v>
      </c>
      <c r="C622" t="s">
        <v>271</v>
      </c>
      <c r="D622" s="85">
        <v>0</v>
      </c>
      <c r="E622" s="85">
        <v>102410.4</v>
      </c>
      <c r="F622" s="85">
        <v>102410.4</v>
      </c>
      <c r="G622" s="85">
        <v>0</v>
      </c>
    </row>
    <row r="623" spans="1:7" x14ac:dyDescent="0.25">
      <c r="A623" t="s">
        <v>988</v>
      </c>
      <c r="B623" t="s">
        <v>986</v>
      </c>
      <c r="C623" t="s">
        <v>271</v>
      </c>
      <c r="D623" s="85">
        <v>0</v>
      </c>
      <c r="E623" s="85">
        <v>102410.4</v>
      </c>
      <c r="F623" s="85">
        <v>102410.4</v>
      </c>
      <c r="G623" s="85">
        <v>0</v>
      </c>
    </row>
    <row r="624" spans="1:7" x14ac:dyDescent="0.25">
      <c r="A624" t="s">
        <v>989</v>
      </c>
      <c r="B624" t="s">
        <v>507</v>
      </c>
      <c r="C624" t="s">
        <v>283</v>
      </c>
      <c r="D624" s="85">
        <v>0</v>
      </c>
      <c r="E624" s="85">
        <v>102410.4</v>
      </c>
      <c r="F624" s="85">
        <v>102410.4</v>
      </c>
      <c r="G624" s="85">
        <v>0</v>
      </c>
    </row>
    <row r="625" spans="1:7" x14ac:dyDescent="0.25">
      <c r="A625" t="s">
        <v>990</v>
      </c>
      <c r="B625" t="s">
        <v>991</v>
      </c>
      <c r="C625" t="s">
        <v>271</v>
      </c>
      <c r="D625" s="85">
        <v>-87242.38</v>
      </c>
      <c r="E625" s="85">
        <v>83523.820000000007</v>
      </c>
      <c r="F625" s="85">
        <v>135060.39000000001</v>
      </c>
      <c r="G625" s="85">
        <v>-138778.95000000001</v>
      </c>
    </row>
    <row r="626" spans="1:7" x14ac:dyDescent="0.25">
      <c r="A626" t="s">
        <v>992</v>
      </c>
      <c r="B626" t="s">
        <v>991</v>
      </c>
      <c r="C626" t="s">
        <v>271</v>
      </c>
      <c r="D626" s="85">
        <v>-87242.38</v>
      </c>
      <c r="E626" s="85">
        <v>83523.820000000007</v>
      </c>
      <c r="F626" s="85">
        <v>135060.39000000001</v>
      </c>
      <c r="G626" s="85">
        <v>-138778.95000000001</v>
      </c>
    </row>
    <row r="627" spans="1:7" x14ac:dyDescent="0.25">
      <c r="A627" t="s">
        <v>993</v>
      </c>
      <c r="B627" t="s">
        <v>991</v>
      </c>
      <c r="C627" t="s">
        <v>271</v>
      </c>
      <c r="D627" s="85">
        <v>-61498.87</v>
      </c>
      <c r="E627" s="85">
        <v>83523.78</v>
      </c>
      <c r="F627" s="85">
        <v>128397.06</v>
      </c>
      <c r="G627" s="85">
        <v>-106372.15</v>
      </c>
    </row>
    <row r="628" spans="1:7" x14ac:dyDescent="0.25">
      <c r="A628" t="s">
        <v>994</v>
      </c>
      <c r="B628" t="s">
        <v>1090</v>
      </c>
      <c r="C628" t="s">
        <v>283</v>
      </c>
      <c r="D628" s="85">
        <v>-21616.57</v>
      </c>
      <c r="E628" s="85">
        <v>40846.699999999997</v>
      </c>
      <c r="F628" s="85">
        <v>40865.94</v>
      </c>
      <c r="G628" s="85">
        <v>-21635.81</v>
      </c>
    </row>
    <row r="629" spans="1:7" x14ac:dyDescent="0.25">
      <c r="A629" t="s">
        <v>996</v>
      </c>
      <c r="B629" t="s">
        <v>997</v>
      </c>
      <c r="C629" t="s">
        <v>283</v>
      </c>
      <c r="D629" s="85">
        <v>-39882.300000000003</v>
      </c>
      <c r="E629" s="85">
        <v>42677.08</v>
      </c>
      <c r="F629" s="85">
        <v>87531.12</v>
      </c>
      <c r="G629" s="85">
        <v>-84736.34</v>
      </c>
    </row>
    <row r="630" spans="1:7" x14ac:dyDescent="0.25">
      <c r="A630" t="s">
        <v>998</v>
      </c>
      <c r="B630" t="s">
        <v>302</v>
      </c>
      <c r="C630" t="s">
        <v>271</v>
      </c>
      <c r="D630" s="85">
        <v>-25743.51</v>
      </c>
      <c r="E630" s="85">
        <v>0.04</v>
      </c>
      <c r="F630" s="85">
        <v>6663.33</v>
      </c>
      <c r="G630" s="85">
        <v>-32406.799999999999</v>
      </c>
    </row>
    <row r="631" spans="1:7" x14ac:dyDescent="0.25">
      <c r="A631" t="s">
        <v>999</v>
      </c>
      <c r="B631" t="s">
        <v>1000</v>
      </c>
      <c r="C631" t="s">
        <v>283</v>
      </c>
      <c r="D631" s="85">
        <v>-6210.23</v>
      </c>
      <c r="E631" s="85">
        <v>0.01</v>
      </c>
      <c r="F631" s="85">
        <v>5451.72</v>
      </c>
      <c r="G631" s="85">
        <v>-11661.94</v>
      </c>
    </row>
    <row r="632" spans="1:7" x14ac:dyDescent="0.25">
      <c r="A632" t="s">
        <v>1001</v>
      </c>
      <c r="B632" t="s">
        <v>1002</v>
      </c>
      <c r="C632" t="s">
        <v>283</v>
      </c>
      <c r="D632" s="85">
        <v>-15209.05</v>
      </c>
      <c r="E632" s="85">
        <v>0.01</v>
      </c>
      <c r="F632" s="85">
        <v>354.97</v>
      </c>
      <c r="G632" s="85">
        <v>-15564.01</v>
      </c>
    </row>
    <row r="633" spans="1:7" x14ac:dyDescent="0.25">
      <c r="A633" t="s">
        <v>1003</v>
      </c>
      <c r="B633" t="s">
        <v>1004</v>
      </c>
      <c r="C633" t="s">
        <v>283</v>
      </c>
      <c r="D633" s="85">
        <v>-4324.2299999999996</v>
      </c>
      <c r="E633" s="85">
        <v>0.02</v>
      </c>
      <c r="F633" s="85">
        <v>856.64</v>
      </c>
      <c r="G633" s="85">
        <v>-5180.8500000000004</v>
      </c>
    </row>
    <row r="634" spans="1:7" x14ac:dyDescent="0.25">
      <c r="A634" t="s">
        <v>1005</v>
      </c>
      <c r="B634" t="s">
        <v>1006</v>
      </c>
      <c r="C634" t="s">
        <v>271</v>
      </c>
      <c r="D634" s="85">
        <v>-91488.84</v>
      </c>
      <c r="E634" s="85">
        <v>119452.4</v>
      </c>
      <c r="F634" s="85">
        <v>128474.68</v>
      </c>
      <c r="G634" s="85">
        <v>-100511.12</v>
      </c>
    </row>
    <row r="635" spans="1:7" x14ac:dyDescent="0.25">
      <c r="A635" t="s">
        <v>1007</v>
      </c>
      <c r="B635" t="s">
        <v>1006</v>
      </c>
      <c r="C635" t="s">
        <v>271</v>
      </c>
      <c r="D635" s="85">
        <v>-91488.84</v>
      </c>
      <c r="E635" s="85">
        <v>119452.4</v>
      </c>
      <c r="F635" s="85">
        <v>128474.68</v>
      </c>
      <c r="G635" s="85">
        <v>-100511.12</v>
      </c>
    </row>
    <row r="636" spans="1:7" x14ac:dyDescent="0.25">
      <c r="A636" t="s">
        <v>1008</v>
      </c>
      <c r="B636" t="s">
        <v>1006</v>
      </c>
      <c r="C636" t="s">
        <v>271</v>
      </c>
      <c r="D636" s="85">
        <v>-91488.84</v>
      </c>
      <c r="E636" s="85">
        <v>119452.4</v>
      </c>
      <c r="F636" s="85">
        <v>128474.68</v>
      </c>
      <c r="G636" s="85">
        <v>-100511.12</v>
      </c>
    </row>
    <row r="637" spans="1:7" x14ac:dyDescent="0.25">
      <c r="A637" t="s">
        <v>1009</v>
      </c>
      <c r="B637" t="s">
        <v>1010</v>
      </c>
      <c r="C637" t="s">
        <v>283</v>
      </c>
      <c r="D637" s="85">
        <v>-7966.48</v>
      </c>
      <c r="E637" s="85">
        <v>13179.91</v>
      </c>
      <c r="F637" s="85">
        <v>6860.73</v>
      </c>
      <c r="G637" s="85">
        <v>-1647.3</v>
      </c>
    </row>
    <row r="638" spans="1:7" x14ac:dyDescent="0.25">
      <c r="A638" t="s">
        <v>1011</v>
      </c>
      <c r="B638" t="s">
        <v>1012</v>
      </c>
      <c r="C638" t="s">
        <v>283</v>
      </c>
      <c r="D638" s="85">
        <v>0</v>
      </c>
      <c r="E638" s="85">
        <v>168.37</v>
      </c>
      <c r="F638" s="85">
        <v>168.37</v>
      </c>
      <c r="G638" s="85">
        <v>0</v>
      </c>
    </row>
    <row r="639" spans="1:7" x14ac:dyDescent="0.25">
      <c r="A639" t="s">
        <v>1013</v>
      </c>
      <c r="B639" t="s">
        <v>1014</v>
      </c>
      <c r="C639" t="s">
        <v>283</v>
      </c>
      <c r="D639" s="85">
        <v>0</v>
      </c>
      <c r="E639" s="85">
        <v>377.61</v>
      </c>
      <c r="F639" s="85">
        <v>377.61</v>
      </c>
      <c r="G639" s="85">
        <v>0</v>
      </c>
    </row>
    <row r="640" spans="1:7" x14ac:dyDescent="0.25">
      <c r="A640" t="s">
        <v>1015</v>
      </c>
      <c r="B640" t="s">
        <v>1016</v>
      </c>
      <c r="C640" t="s">
        <v>283</v>
      </c>
      <c r="D640" s="85">
        <v>-19825.900000000001</v>
      </c>
      <c r="E640" s="85">
        <v>19825.900000000001</v>
      </c>
      <c r="F640" s="85">
        <v>32905.82</v>
      </c>
      <c r="G640" s="85">
        <v>-32905.82</v>
      </c>
    </row>
    <row r="641" spans="1:7" x14ac:dyDescent="0.25">
      <c r="A641" t="s">
        <v>1017</v>
      </c>
      <c r="B641" t="s">
        <v>1018</v>
      </c>
      <c r="C641" t="s">
        <v>283</v>
      </c>
      <c r="D641" s="85">
        <v>0</v>
      </c>
      <c r="E641" s="85">
        <v>2698.16</v>
      </c>
      <c r="F641" s="85">
        <v>2698.16</v>
      </c>
      <c r="G641" s="85">
        <v>0</v>
      </c>
    </row>
    <row r="642" spans="1:7" x14ac:dyDescent="0.25">
      <c r="A642" t="s">
        <v>1019</v>
      </c>
      <c r="B642" t="s">
        <v>1020</v>
      </c>
      <c r="C642" t="s">
        <v>283</v>
      </c>
      <c r="D642" s="85">
        <v>-31848.23</v>
      </c>
      <c r="E642" s="85">
        <v>31848.23</v>
      </c>
      <c r="F642" s="85">
        <v>32979</v>
      </c>
      <c r="G642" s="85">
        <v>-32979</v>
      </c>
    </row>
    <row r="643" spans="1:7" x14ac:dyDescent="0.25">
      <c r="A643" t="s">
        <v>1021</v>
      </c>
      <c r="B643" t="s">
        <v>1022</v>
      </c>
      <c r="C643" t="s">
        <v>283</v>
      </c>
      <c r="D643" s="85">
        <v>-31848.23</v>
      </c>
      <c r="E643" s="85">
        <v>31848.23</v>
      </c>
      <c r="F643" s="85">
        <v>32979</v>
      </c>
      <c r="G643" s="85">
        <v>-32979</v>
      </c>
    </row>
    <row r="644" spans="1:7" x14ac:dyDescent="0.25">
      <c r="A644" t="s">
        <v>1023</v>
      </c>
      <c r="B644" t="s">
        <v>1024</v>
      </c>
      <c r="C644" t="s">
        <v>283</v>
      </c>
      <c r="D644" s="85">
        <v>0</v>
      </c>
      <c r="E644" s="85">
        <v>16615.53</v>
      </c>
      <c r="F644" s="85">
        <v>16615.53</v>
      </c>
      <c r="G644" s="85">
        <v>0</v>
      </c>
    </row>
    <row r="645" spans="1:7" x14ac:dyDescent="0.25">
      <c r="A645" t="s">
        <v>1025</v>
      </c>
      <c r="B645" t="s">
        <v>1026</v>
      </c>
      <c r="C645" t="s">
        <v>283</v>
      </c>
      <c r="D645" s="85">
        <v>0</v>
      </c>
      <c r="E645" s="85">
        <v>2890.46</v>
      </c>
      <c r="F645" s="85">
        <v>2890.46</v>
      </c>
      <c r="G645" s="85">
        <v>0</v>
      </c>
    </row>
    <row r="646" spans="1:7" x14ac:dyDescent="0.25">
      <c r="A646" t="s">
        <v>1027</v>
      </c>
      <c r="B646" t="s">
        <v>331</v>
      </c>
      <c r="C646" t="s">
        <v>271</v>
      </c>
      <c r="D646" s="85">
        <v>-110274.46</v>
      </c>
      <c r="E646" s="85">
        <v>36812.49</v>
      </c>
      <c r="F646" s="85">
        <v>0.02</v>
      </c>
      <c r="G646" s="85">
        <v>-73461.990000000005</v>
      </c>
    </row>
    <row r="647" spans="1:7" x14ac:dyDescent="0.25">
      <c r="A647" t="s">
        <v>1028</v>
      </c>
      <c r="B647" t="s">
        <v>302</v>
      </c>
      <c r="C647" t="s">
        <v>271</v>
      </c>
      <c r="D647" s="85">
        <v>-110274.46</v>
      </c>
      <c r="E647" s="85">
        <v>36812.49</v>
      </c>
      <c r="F647" s="85">
        <v>0.02</v>
      </c>
      <c r="G647" s="85">
        <v>-73461.990000000005</v>
      </c>
    </row>
    <row r="648" spans="1:7" x14ac:dyDescent="0.25">
      <c r="A648" t="s">
        <v>1029</v>
      </c>
      <c r="B648" t="s">
        <v>1030</v>
      </c>
      <c r="C648" t="s">
        <v>283</v>
      </c>
      <c r="D648" s="85">
        <v>-60693.14</v>
      </c>
      <c r="E648" s="85">
        <v>6397.45</v>
      </c>
      <c r="F648" s="85">
        <v>0</v>
      </c>
      <c r="G648" s="85">
        <v>-54295.69</v>
      </c>
    </row>
    <row r="649" spans="1:7" x14ac:dyDescent="0.25">
      <c r="A649" t="s">
        <v>1031</v>
      </c>
      <c r="B649" t="s">
        <v>1032</v>
      </c>
      <c r="C649" t="s">
        <v>283</v>
      </c>
      <c r="D649" s="85">
        <v>-16569.18</v>
      </c>
      <c r="E649" s="85">
        <v>1746.5</v>
      </c>
      <c r="F649" s="85">
        <v>0.01</v>
      </c>
      <c r="G649" s="85">
        <v>-14822.69</v>
      </c>
    </row>
    <row r="650" spans="1:7" x14ac:dyDescent="0.25">
      <c r="A650" t="s">
        <v>1033</v>
      </c>
      <c r="B650" t="s">
        <v>1034</v>
      </c>
      <c r="C650" t="s">
        <v>283</v>
      </c>
      <c r="D650" s="85">
        <v>-4855.41</v>
      </c>
      <c r="E650" s="85">
        <v>511.8</v>
      </c>
      <c r="F650" s="85">
        <v>0</v>
      </c>
      <c r="G650" s="85">
        <v>-4343.6099999999997</v>
      </c>
    </row>
    <row r="651" spans="1:7" x14ac:dyDescent="0.25">
      <c r="A651" t="s">
        <v>1035</v>
      </c>
      <c r="B651" t="s">
        <v>1036</v>
      </c>
      <c r="C651" t="s">
        <v>283</v>
      </c>
      <c r="D651" s="85">
        <v>-16887.97</v>
      </c>
      <c r="E651" s="85">
        <v>16887.97</v>
      </c>
      <c r="F651" s="85">
        <v>0</v>
      </c>
      <c r="G651" s="85">
        <v>0</v>
      </c>
    </row>
    <row r="652" spans="1:7" x14ac:dyDescent="0.25">
      <c r="A652" t="s">
        <v>1037</v>
      </c>
      <c r="B652" t="s">
        <v>1038</v>
      </c>
      <c r="C652" t="s">
        <v>283</v>
      </c>
      <c r="D652" s="85">
        <v>-9917.75</v>
      </c>
      <c r="E652" s="85">
        <v>9917.75</v>
      </c>
      <c r="F652" s="85">
        <v>0</v>
      </c>
      <c r="G652" s="85">
        <v>0</v>
      </c>
    </row>
    <row r="653" spans="1:7" x14ac:dyDescent="0.25">
      <c r="A653" t="s">
        <v>1039</v>
      </c>
      <c r="B653" t="s">
        <v>1040</v>
      </c>
      <c r="C653" t="s">
        <v>283</v>
      </c>
      <c r="D653" s="85">
        <v>-1351.01</v>
      </c>
      <c r="E653" s="85">
        <v>1351.02</v>
      </c>
      <c r="F653" s="85">
        <v>0.01</v>
      </c>
      <c r="G653" s="85">
        <v>0</v>
      </c>
    </row>
    <row r="654" spans="1:7" x14ac:dyDescent="0.25">
      <c r="A654" t="s">
        <v>1041</v>
      </c>
      <c r="B654" t="s">
        <v>1042</v>
      </c>
      <c r="C654" t="s">
        <v>271</v>
      </c>
      <c r="D654" s="85">
        <v>-625384.02</v>
      </c>
      <c r="E654" s="85">
        <v>7831535.4800000004</v>
      </c>
      <c r="F654" s="85">
        <v>8285376.6399999997</v>
      </c>
      <c r="G654" s="85">
        <v>-1079225.18</v>
      </c>
    </row>
    <row r="655" spans="1:7" x14ac:dyDescent="0.25">
      <c r="A655" t="s">
        <v>1043</v>
      </c>
      <c r="B655" t="s">
        <v>413</v>
      </c>
      <c r="C655" t="s">
        <v>271</v>
      </c>
      <c r="D655" s="85">
        <v>-96043.839999999997</v>
      </c>
      <c r="E655" s="85">
        <v>7352122.9299999997</v>
      </c>
      <c r="F655" s="85">
        <v>7915343.9000000004</v>
      </c>
      <c r="G655" s="85">
        <v>-659264.81000000006</v>
      </c>
    </row>
    <row r="656" spans="1:7" x14ac:dyDescent="0.25">
      <c r="A656" t="s">
        <v>1044</v>
      </c>
      <c r="B656" t="s">
        <v>415</v>
      </c>
      <c r="C656" t="s">
        <v>271</v>
      </c>
      <c r="D656" s="85">
        <v>261559.08</v>
      </c>
      <c r="E656" s="85">
        <v>4828541.3499999996</v>
      </c>
      <c r="F656" s="85">
        <v>5090100.43</v>
      </c>
      <c r="G656" s="85">
        <v>0</v>
      </c>
    </row>
    <row r="657" spans="1:7" x14ac:dyDescent="0.25">
      <c r="A657" t="s">
        <v>1045</v>
      </c>
      <c r="B657" t="s">
        <v>415</v>
      </c>
      <c r="C657" t="s">
        <v>271</v>
      </c>
      <c r="D657" s="85">
        <v>261559.08</v>
      </c>
      <c r="E657" s="85">
        <v>4828541.3499999996</v>
      </c>
      <c r="F657" s="85">
        <v>5090100.43</v>
      </c>
      <c r="G657" s="85">
        <v>0</v>
      </c>
    </row>
    <row r="658" spans="1:7" x14ac:dyDescent="0.25">
      <c r="A658" t="s">
        <v>1046</v>
      </c>
      <c r="B658" t="s">
        <v>415</v>
      </c>
      <c r="C658" t="s">
        <v>271</v>
      </c>
      <c r="D658" s="85">
        <v>261559.08</v>
      </c>
      <c r="E658" s="85">
        <v>4828541.3499999996</v>
      </c>
      <c r="F658" s="85">
        <v>5090100.43</v>
      </c>
      <c r="G658" s="85">
        <v>0</v>
      </c>
    </row>
    <row r="659" spans="1:7" x14ac:dyDescent="0.25">
      <c r="A659" t="s">
        <v>1047</v>
      </c>
      <c r="B659" t="s">
        <v>236</v>
      </c>
      <c r="C659" t="s">
        <v>283</v>
      </c>
      <c r="D659" s="85">
        <v>261559.08</v>
      </c>
      <c r="E659" s="85">
        <v>4828541.3499999996</v>
      </c>
      <c r="F659" s="85">
        <v>5090100.43</v>
      </c>
      <c r="G659" s="85">
        <v>0</v>
      </c>
    </row>
    <row r="660" spans="1:7" x14ac:dyDescent="0.25">
      <c r="A660" t="s">
        <v>1048</v>
      </c>
      <c r="B660" t="s">
        <v>421</v>
      </c>
      <c r="C660" t="s">
        <v>271</v>
      </c>
      <c r="D660" s="85">
        <v>86241.27</v>
      </c>
      <c r="E660" s="85">
        <v>1550562.93</v>
      </c>
      <c r="F660" s="85">
        <v>1636804.2</v>
      </c>
      <c r="G660" s="85">
        <v>0</v>
      </c>
    </row>
    <row r="661" spans="1:7" x14ac:dyDescent="0.25">
      <c r="A661" t="s">
        <v>1049</v>
      </c>
      <c r="B661" t="s">
        <v>421</v>
      </c>
      <c r="C661" t="s">
        <v>271</v>
      </c>
      <c r="D661" s="85">
        <v>86241.27</v>
      </c>
      <c r="E661" s="85">
        <v>1550562.93</v>
      </c>
      <c r="F661" s="85">
        <v>1636804.2</v>
      </c>
      <c r="G661" s="85">
        <v>0</v>
      </c>
    </row>
    <row r="662" spans="1:7" x14ac:dyDescent="0.25">
      <c r="A662" t="s">
        <v>1050</v>
      </c>
      <c r="B662" t="s">
        <v>421</v>
      </c>
      <c r="C662" t="s">
        <v>271</v>
      </c>
      <c r="D662" s="85">
        <v>86241.27</v>
      </c>
      <c r="E662" s="85">
        <v>1550562.93</v>
      </c>
      <c r="F662" s="85">
        <v>1636804.2</v>
      </c>
      <c r="G662" s="85">
        <v>0</v>
      </c>
    </row>
    <row r="663" spans="1:7" x14ac:dyDescent="0.25">
      <c r="A663" t="s">
        <v>1051</v>
      </c>
      <c r="B663" t="s">
        <v>237</v>
      </c>
      <c r="C663" t="s">
        <v>283</v>
      </c>
      <c r="D663" s="85">
        <v>86241.27</v>
      </c>
      <c r="E663" s="85">
        <v>1550562.93</v>
      </c>
      <c r="F663" s="85">
        <v>1636804.2</v>
      </c>
      <c r="G663" s="85">
        <v>0</v>
      </c>
    </row>
    <row r="664" spans="1:7" x14ac:dyDescent="0.25">
      <c r="A664" t="s">
        <v>1052</v>
      </c>
      <c r="B664" t="s">
        <v>445</v>
      </c>
      <c r="C664" t="s">
        <v>271</v>
      </c>
      <c r="D664" s="85">
        <v>-78639.320000000007</v>
      </c>
      <c r="E664" s="85">
        <v>173032.61</v>
      </c>
      <c r="F664" s="85">
        <v>211161.45</v>
      </c>
      <c r="G664" s="85">
        <v>-116768.16</v>
      </c>
    </row>
    <row r="665" spans="1:7" x14ac:dyDescent="0.25">
      <c r="A665" t="s">
        <v>1053</v>
      </c>
      <c r="B665" t="s">
        <v>445</v>
      </c>
      <c r="C665" t="s">
        <v>271</v>
      </c>
      <c r="D665" s="85">
        <v>-78639.320000000007</v>
      </c>
      <c r="E665" s="85">
        <v>173032.61</v>
      </c>
      <c r="F665" s="85">
        <v>211161.45</v>
      </c>
      <c r="G665" s="85">
        <v>-116768.16</v>
      </c>
    </row>
    <row r="666" spans="1:7" x14ac:dyDescent="0.25">
      <c r="A666" t="s">
        <v>1054</v>
      </c>
      <c r="B666" t="s">
        <v>445</v>
      </c>
      <c r="C666" t="s">
        <v>271</v>
      </c>
      <c r="D666" s="85">
        <v>-78639.320000000007</v>
      </c>
      <c r="E666" s="85">
        <v>173032.61</v>
      </c>
      <c r="F666" s="85">
        <v>211161.45</v>
      </c>
      <c r="G666" s="85">
        <v>-116768.16</v>
      </c>
    </row>
    <row r="667" spans="1:7" x14ac:dyDescent="0.25">
      <c r="A667" t="s">
        <v>1055</v>
      </c>
      <c r="B667" t="s">
        <v>445</v>
      </c>
      <c r="C667" t="s">
        <v>283</v>
      </c>
      <c r="D667" s="85">
        <v>-78639.320000000007</v>
      </c>
      <c r="E667" s="85">
        <v>173032.61</v>
      </c>
      <c r="F667" s="85">
        <v>211161.45</v>
      </c>
      <c r="G667" s="85">
        <v>-116768.16</v>
      </c>
    </row>
    <row r="668" spans="1:7" x14ac:dyDescent="0.25">
      <c r="A668" t="s">
        <v>1057</v>
      </c>
      <c r="B668" t="s">
        <v>216</v>
      </c>
      <c r="C668" t="s">
        <v>271</v>
      </c>
      <c r="D668" s="85">
        <v>-365204.87</v>
      </c>
      <c r="E668" s="85">
        <v>799986.04</v>
      </c>
      <c r="F668" s="85">
        <v>977277.82</v>
      </c>
      <c r="G668" s="85">
        <v>-542496.65</v>
      </c>
    </row>
    <row r="669" spans="1:7" x14ac:dyDescent="0.25">
      <c r="A669" t="s">
        <v>1058</v>
      </c>
      <c r="B669" t="s">
        <v>216</v>
      </c>
      <c r="C669" t="s">
        <v>271</v>
      </c>
      <c r="D669" s="85">
        <v>-365204.87</v>
      </c>
      <c r="E669" s="85">
        <v>799986.04</v>
      </c>
      <c r="F669" s="85">
        <v>977277.82</v>
      </c>
      <c r="G669" s="85">
        <v>-542496.65</v>
      </c>
    </row>
    <row r="670" spans="1:7" x14ac:dyDescent="0.25">
      <c r="A670" t="s">
        <v>1059</v>
      </c>
      <c r="B670" t="s">
        <v>216</v>
      </c>
      <c r="C670" t="s">
        <v>271</v>
      </c>
      <c r="D670" s="85">
        <v>-365204.87</v>
      </c>
      <c r="E670" s="85">
        <v>799986.04</v>
      </c>
      <c r="F670" s="85">
        <v>977277.82</v>
      </c>
      <c r="G670" s="85">
        <v>-542496.65</v>
      </c>
    </row>
    <row r="671" spans="1:7" x14ac:dyDescent="0.25">
      <c r="A671" t="s">
        <v>1060</v>
      </c>
      <c r="B671" t="s">
        <v>216</v>
      </c>
      <c r="C671" t="s">
        <v>283</v>
      </c>
      <c r="D671" s="85">
        <v>-365204.87</v>
      </c>
      <c r="E671" s="85">
        <v>799986.04</v>
      </c>
      <c r="F671" s="85">
        <v>977277.82</v>
      </c>
      <c r="G671" s="85">
        <v>-542496.65</v>
      </c>
    </row>
    <row r="672" spans="1:7" x14ac:dyDescent="0.25">
      <c r="A672" t="s">
        <v>1062</v>
      </c>
      <c r="B672" t="s">
        <v>1063</v>
      </c>
      <c r="C672" t="s">
        <v>271</v>
      </c>
      <c r="D672" s="85">
        <v>-249766</v>
      </c>
      <c r="E672" s="85">
        <v>128539.47</v>
      </c>
      <c r="F672" s="85">
        <v>129431.98</v>
      </c>
      <c r="G672" s="85">
        <v>-250658.51</v>
      </c>
    </row>
    <row r="673" spans="1:7" x14ac:dyDescent="0.25">
      <c r="A673" t="s">
        <v>1064</v>
      </c>
      <c r="B673" t="s">
        <v>1065</v>
      </c>
      <c r="C673" t="s">
        <v>271</v>
      </c>
      <c r="D673" s="85">
        <v>-249766</v>
      </c>
      <c r="E673" s="85">
        <v>128539.47</v>
      </c>
      <c r="F673" s="85">
        <v>129431.98</v>
      </c>
      <c r="G673" s="85">
        <v>-250658.51</v>
      </c>
    </row>
    <row r="674" spans="1:7" x14ac:dyDescent="0.25">
      <c r="A674" t="s">
        <v>1066</v>
      </c>
      <c r="B674" t="s">
        <v>1065</v>
      </c>
      <c r="C674" t="s">
        <v>271</v>
      </c>
      <c r="D674" s="85">
        <v>-249766</v>
      </c>
      <c r="E674" s="85">
        <v>128539.47</v>
      </c>
      <c r="F674" s="85">
        <v>129431.98</v>
      </c>
      <c r="G674" s="85">
        <v>-250658.51</v>
      </c>
    </row>
    <row r="675" spans="1:7" x14ac:dyDescent="0.25">
      <c r="A675" t="s">
        <v>1067</v>
      </c>
      <c r="B675" t="s">
        <v>1065</v>
      </c>
      <c r="C675" t="s">
        <v>271</v>
      </c>
      <c r="D675" s="85">
        <v>-249403</v>
      </c>
      <c r="E675" s="85">
        <v>128539.47</v>
      </c>
      <c r="F675" s="85">
        <v>122428.67</v>
      </c>
      <c r="G675" s="85">
        <v>-243292.2</v>
      </c>
    </row>
    <row r="676" spans="1:7" x14ac:dyDescent="0.25">
      <c r="A676" t="s">
        <v>2207</v>
      </c>
      <c r="B676" t="s">
        <v>2208</v>
      </c>
      <c r="C676" t="s">
        <v>283</v>
      </c>
      <c r="D676" s="85">
        <v>-2239.02</v>
      </c>
      <c r="E676" s="85">
        <v>2239.02</v>
      </c>
      <c r="F676" s="85">
        <v>170.9</v>
      </c>
      <c r="G676" s="85">
        <v>-170.9</v>
      </c>
    </row>
    <row r="677" spans="1:7" x14ac:dyDescent="0.25">
      <c r="A677" t="s">
        <v>1068</v>
      </c>
      <c r="B677" t="s">
        <v>1065</v>
      </c>
      <c r="C677" t="s">
        <v>283</v>
      </c>
      <c r="D677" s="85">
        <v>-247163.98</v>
      </c>
      <c r="E677" s="85">
        <v>126300.45</v>
      </c>
      <c r="F677" s="85">
        <v>122257.77</v>
      </c>
      <c r="G677" s="85">
        <v>-243121.3</v>
      </c>
    </row>
    <row r="678" spans="1:7" x14ac:dyDescent="0.25">
      <c r="A678" t="s">
        <v>1069</v>
      </c>
      <c r="B678" t="s">
        <v>302</v>
      </c>
      <c r="C678" t="s">
        <v>271</v>
      </c>
      <c r="D678" s="85">
        <v>-363</v>
      </c>
      <c r="E678" s="85">
        <v>0</v>
      </c>
      <c r="F678" s="85">
        <v>7003.31</v>
      </c>
      <c r="G678" s="85">
        <v>-7366.31</v>
      </c>
    </row>
    <row r="679" spans="1:7" x14ac:dyDescent="0.25">
      <c r="A679" t="s">
        <v>1070</v>
      </c>
      <c r="B679" t="s">
        <v>1071</v>
      </c>
      <c r="C679" t="s">
        <v>283</v>
      </c>
      <c r="D679" s="85">
        <v>-363</v>
      </c>
      <c r="E679" s="85">
        <v>0</v>
      </c>
      <c r="F679" s="85">
        <v>7003.31</v>
      </c>
      <c r="G679" s="85">
        <v>-7366.31</v>
      </c>
    </row>
    <row r="680" spans="1:7" x14ac:dyDescent="0.25">
      <c r="A680" t="s">
        <v>1072</v>
      </c>
      <c r="B680" t="s">
        <v>463</v>
      </c>
      <c r="C680" t="s">
        <v>271</v>
      </c>
      <c r="D680" s="85">
        <v>-4928.9799999999996</v>
      </c>
      <c r="E680" s="85">
        <v>4053.58</v>
      </c>
      <c r="F680" s="85">
        <v>13861.64</v>
      </c>
      <c r="G680" s="85">
        <v>-14737.04</v>
      </c>
    </row>
    <row r="681" spans="1:7" x14ac:dyDescent="0.25">
      <c r="A681" t="s">
        <v>1073</v>
      </c>
      <c r="B681" t="s">
        <v>1074</v>
      </c>
      <c r="C681" t="s">
        <v>271</v>
      </c>
      <c r="D681" s="85">
        <v>-4928.9799999999996</v>
      </c>
      <c r="E681" s="85">
        <v>4053.58</v>
      </c>
      <c r="F681" s="85">
        <v>13861.64</v>
      </c>
      <c r="G681" s="85">
        <v>-14737.04</v>
      </c>
    </row>
    <row r="682" spans="1:7" x14ac:dyDescent="0.25">
      <c r="A682" t="s">
        <v>1075</v>
      </c>
      <c r="B682" t="s">
        <v>335</v>
      </c>
      <c r="C682" t="s">
        <v>271</v>
      </c>
      <c r="D682" s="85">
        <v>-4053.58</v>
      </c>
      <c r="E682" s="85">
        <v>4053.58</v>
      </c>
      <c r="F682" s="85">
        <v>13711.44</v>
      </c>
      <c r="G682" s="85">
        <v>-13711.44</v>
      </c>
    </row>
    <row r="683" spans="1:7" x14ac:dyDescent="0.25">
      <c r="A683" t="s">
        <v>1076</v>
      </c>
      <c r="B683" t="s">
        <v>1077</v>
      </c>
      <c r="C683" t="s">
        <v>283</v>
      </c>
      <c r="D683" s="85">
        <v>-3662.65</v>
      </c>
      <c r="E683" s="85">
        <v>3662.65</v>
      </c>
      <c r="F683" s="85">
        <v>13320.51</v>
      </c>
      <c r="G683" s="85">
        <v>-13320.51</v>
      </c>
    </row>
    <row r="684" spans="1:7" x14ac:dyDescent="0.25">
      <c r="A684" t="s">
        <v>1078</v>
      </c>
      <c r="B684" t="s">
        <v>1079</v>
      </c>
      <c r="C684" t="s">
        <v>283</v>
      </c>
      <c r="D684" s="85">
        <v>-390.93</v>
      </c>
      <c r="E684" s="85">
        <v>390.93</v>
      </c>
      <c r="F684" s="85">
        <v>390.93</v>
      </c>
      <c r="G684" s="85">
        <v>-390.93</v>
      </c>
    </row>
    <row r="685" spans="1:7" x14ac:dyDescent="0.25">
      <c r="A685" t="s">
        <v>1080</v>
      </c>
      <c r="B685" t="s">
        <v>302</v>
      </c>
      <c r="C685" t="s">
        <v>271</v>
      </c>
      <c r="D685" s="85">
        <v>-875.4</v>
      </c>
      <c r="E685" s="85">
        <v>0</v>
      </c>
      <c r="F685" s="85">
        <v>150.19999999999999</v>
      </c>
      <c r="G685" s="85">
        <v>-1025.5999999999999</v>
      </c>
    </row>
    <row r="686" spans="1:7" x14ac:dyDescent="0.25">
      <c r="A686" t="s">
        <v>1081</v>
      </c>
      <c r="B686" t="s">
        <v>1082</v>
      </c>
      <c r="C686" t="s">
        <v>283</v>
      </c>
      <c r="D686" s="85">
        <v>-875.4</v>
      </c>
      <c r="E686" s="85">
        <v>0</v>
      </c>
      <c r="F686" s="85">
        <v>150.19999999999999</v>
      </c>
      <c r="G686" s="85">
        <v>-1025.5999999999999</v>
      </c>
    </row>
    <row r="687" spans="1:7" x14ac:dyDescent="0.25">
      <c r="A687" t="s">
        <v>1084</v>
      </c>
      <c r="B687" t="s">
        <v>1085</v>
      </c>
      <c r="C687" t="s">
        <v>271</v>
      </c>
      <c r="D687" s="85">
        <v>-108124.63</v>
      </c>
      <c r="E687" s="85">
        <v>186388.57</v>
      </c>
      <c r="F687" s="85">
        <v>202112.71</v>
      </c>
      <c r="G687" s="85">
        <v>-123848.77</v>
      </c>
    </row>
    <row r="688" spans="1:7" x14ac:dyDescent="0.25">
      <c r="A688" t="s">
        <v>1086</v>
      </c>
      <c r="B688" t="s">
        <v>995</v>
      </c>
      <c r="C688" t="s">
        <v>271</v>
      </c>
      <c r="D688" s="85">
        <v>-85170.46</v>
      </c>
      <c r="E688" s="85">
        <v>163434.4</v>
      </c>
      <c r="F688" s="85">
        <v>166019.75</v>
      </c>
      <c r="G688" s="85">
        <v>-87755.81</v>
      </c>
    </row>
    <row r="689" spans="1:7" x14ac:dyDescent="0.25">
      <c r="A689" t="s">
        <v>1087</v>
      </c>
      <c r="B689" t="s">
        <v>995</v>
      </c>
      <c r="C689" t="s">
        <v>271</v>
      </c>
      <c r="D689" s="85">
        <v>-85170.46</v>
      </c>
      <c r="E689" s="85">
        <v>163434.4</v>
      </c>
      <c r="F689" s="85">
        <v>166019.75</v>
      </c>
      <c r="G689" s="85">
        <v>-87755.81</v>
      </c>
    </row>
    <row r="690" spans="1:7" x14ac:dyDescent="0.25">
      <c r="A690" t="s">
        <v>1088</v>
      </c>
      <c r="B690" t="s">
        <v>995</v>
      </c>
      <c r="C690" t="s">
        <v>271</v>
      </c>
      <c r="D690" s="85">
        <v>-85170.46</v>
      </c>
      <c r="E690" s="85">
        <v>163434.4</v>
      </c>
      <c r="F690" s="85">
        <v>166019.75</v>
      </c>
      <c r="G690" s="85">
        <v>-87755.81</v>
      </c>
    </row>
    <row r="691" spans="1:7" x14ac:dyDescent="0.25">
      <c r="A691" t="s">
        <v>1089</v>
      </c>
      <c r="B691" t="s">
        <v>1090</v>
      </c>
      <c r="C691" t="s">
        <v>283</v>
      </c>
      <c r="D691" s="85">
        <v>-85170.46</v>
      </c>
      <c r="E691" s="85">
        <v>163434.4</v>
      </c>
      <c r="F691" s="85">
        <v>166019.75</v>
      </c>
      <c r="G691" s="85">
        <v>-87755.81</v>
      </c>
    </row>
    <row r="692" spans="1:7" x14ac:dyDescent="0.25">
      <c r="A692" t="s">
        <v>1091</v>
      </c>
      <c r="B692" t="s">
        <v>1092</v>
      </c>
      <c r="C692" t="s">
        <v>271</v>
      </c>
      <c r="D692" s="85">
        <v>-22954.17</v>
      </c>
      <c r="E692" s="85">
        <v>22954.17</v>
      </c>
      <c r="F692" s="85">
        <v>36092.959999999999</v>
      </c>
      <c r="G692" s="85">
        <v>-36092.959999999999</v>
      </c>
    </row>
    <row r="693" spans="1:7" x14ac:dyDescent="0.25">
      <c r="A693" t="s">
        <v>1093</v>
      </c>
      <c r="B693" t="s">
        <v>1092</v>
      </c>
      <c r="C693" t="s">
        <v>271</v>
      </c>
      <c r="D693" s="85">
        <v>-22954.17</v>
      </c>
      <c r="E693" s="85">
        <v>22954.17</v>
      </c>
      <c r="F693" s="85">
        <v>36092.959999999999</v>
      </c>
      <c r="G693" s="85">
        <v>-36092.959999999999</v>
      </c>
    </row>
    <row r="694" spans="1:7" x14ac:dyDescent="0.25">
      <c r="A694" t="s">
        <v>1094</v>
      </c>
      <c r="B694" t="s">
        <v>1092</v>
      </c>
      <c r="C694" t="s">
        <v>271</v>
      </c>
      <c r="D694" s="85">
        <v>-22954.17</v>
      </c>
      <c r="E694" s="85">
        <v>22954.17</v>
      </c>
      <c r="F694" s="85">
        <v>36092.959999999999</v>
      </c>
      <c r="G694" s="85">
        <v>-36092.959999999999</v>
      </c>
    </row>
    <row r="695" spans="1:7" x14ac:dyDescent="0.25">
      <c r="A695" t="s">
        <v>1095</v>
      </c>
      <c r="B695" t="s">
        <v>1092</v>
      </c>
      <c r="C695" t="s">
        <v>283</v>
      </c>
      <c r="D695" s="85">
        <v>-22954.17</v>
      </c>
      <c r="E695" s="85">
        <v>22954.17</v>
      </c>
      <c r="F695" s="85">
        <v>36092.959999999999</v>
      </c>
      <c r="G695" s="85">
        <v>-36092.959999999999</v>
      </c>
    </row>
    <row r="696" spans="1:7" x14ac:dyDescent="0.25">
      <c r="A696" t="s">
        <v>1096</v>
      </c>
      <c r="B696" t="s">
        <v>991</v>
      </c>
      <c r="C696" t="s">
        <v>271</v>
      </c>
      <c r="D696" s="85">
        <v>-166520.57</v>
      </c>
      <c r="E696" s="85">
        <v>160430.93</v>
      </c>
      <c r="F696" s="85">
        <v>24626.41</v>
      </c>
      <c r="G696" s="85">
        <v>-30716.05</v>
      </c>
    </row>
    <row r="697" spans="1:7" x14ac:dyDescent="0.25">
      <c r="A697" t="s">
        <v>1097</v>
      </c>
      <c r="B697" t="s">
        <v>429</v>
      </c>
      <c r="C697" t="s">
        <v>271</v>
      </c>
      <c r="D697" s="85">
        <v>-147249.93</v>
      </c>
      <c r="E697" s="85">
        <v>146427.04999999999</v>
      </c>
      <c r="F697" s="85">
        <v>2908.22</v>
      </c>
      <c r="G697" s="85">
        <v>-3731.1</v>
      </c>
    </row>
    <row r="698" spans="1:7" x14ac:dyDescent="0.25">
      <c r="A698" t="s">
        <v>1098</v>
      </c>
      <c r="B698" t="s">
        <v>429</v>
      </c>
      <c r="C698" t="s">
        <v>271</v>
      </c>
      <c r="D698" s="85">
        <v>-147249.93</v>
      </c>
      <c r="E698" s="85">
        <v>146427.04999999999</v>
      </c>
      <c r="F698" s="85">
        <v>2908.22</v>
      </c>
      <c r="G698" s="85">
        <v>-3731.1</v>
      </c>
    </row>
    <row r="699" spans="1:7" x14ac:dyDescent="0.25">
      <c r="A699" t="s">
        <v>1099</v>
      </c>
      <c r="B699" t="s">
        <v>429</v>
      </c>
      <c r="C699" t="s">
        <v>271</v>
      </c>
      <c r="D699" s="85">
        <v>-146223.74</v>
      </c>
      <c r="E699" s="85">
        <v>146223.74</v>
      </c>
      <c r="F699" s="85">
        <v>2908.22</v>
      </c>
      <c r="G699" s="85">
        <v>-2908.22</v>
      </c>
    </row>
    <row r="700" spans="1:7" x14ac:dyDescent="0.25">
      <c r="A700" t="s">
        <v>1100</v>
      </c>
      <c r="B700" t="s">
        <v>1101</v>
      </c>
      <c r="C700" t="s">
        <v>283</v>
      </c>
      <c r="D700" s="85">
        <v>-3145.4</v>
      </c>
      <c r="E700" s="85">
        <v>3145.4</v>
      </c>
      <c r="F700" s="85">
        <v>2908.22</v>
      </c>
      <c r="G700" s="85">
        <v>-2908.22</v>
      </c>
    </row>
    <row r="701" spans="1:7" x14ac:dyDescent="0.25">
      <c r="A701" t="s">
        <v>1102</v>
      </c>
      <c r="B701" t="s">
        <v>1103</v>
      </c>
      <c r="C701" t="s">
        <v>283</v>
      </c>
      <c r="D701" s="85">
        <v>-143078.34</v>
      </c>
      <c r="E701" s="85">
        <v>143078.34</v>
      </c>
      <c r="F701" s="85">
        <v>0</v>
      </c>
      <c r="G701" s="85">
        <v>0</v>
      </c>
    </row>
    <row r="702" spans="1:7" x14ac:dyDescent="0.25">
      <c r="A702" t="s">
        <v>1104</v>
      </c>
      <c r="B702" t="s">
        <v>302</v>
      </c>
      <c r="C702" t="s">
        <v>271</v>
      </c>
      <c r="D702" s="85">
        <v>-1026.19</v>
      </c>
      <c r="E702" s="85">
        <v>203.31</v>
      </c>
      <c r="F702" s="85">
        <v>0</v>
      </c>
      <c r="G702" s="85">
        <v>-822.88</v>
      </c>
    </row>
    <row r="703" spans="1:7" x14ac:dyDescent="0.25">
      <c r="A703" t="s">
        <v>1105</v>
      </c>
      <c r="B703" t="s">
        <v>1106</v>
      </c>
      <c r="C703" t="s">
        <v>283</v>
      </c>
      <c r="D703" s="85">
        <v>-1026.19</v>
      </c>
      <c r="E703" s="85">
        <v>203.31</v>
      </c>
      <c r="F703" s="85">
        <v>0</v>
      </c>
      <c r="G703" s="85">
        <v>-822.88</v>
      </c>
    </row>
    <row r="704" spans="1:7" x14ac:dyDescent="0.25">
      <c r="A704" t="s">
        <v>1107</v>
      </c>
      <c r="B704" t="s">
        <v>331</v>
      </c>
      <c r="C704" t="s">
        <v>271</v>
      </c>
      <c r="D704" s="85">
        <v>-19270.64</v>
      </c>
      <c r="E704" s="85">
        <v>14003.88</v>
      </c>
      <c r="F704" s="85">
        <v>21718.19</v>
      </c>
      <c r="G704" s="85">
        <v>-26984.95</v>
      </c>
    </row>
    <row r="705" spans="1:7" x14ac:dyDescent="0.25">
      <c r="A705" t="s">
        <v>1108</v>
      </c>
      <c r="B705" t="s">
        <v>331</v>
      </c>
      <c r="C705" t="s">
        <v>271</v>
      </c>
      <c r="D705" s="85">
        <v>-19270.64</v>
      </c>
      <c r="E705" s="85">
        <v>14003.88</v>
      </c>
      <c r="F705" s="85">
        <v>21718.19</v>
      </c>
      <c r="G705" s="85">
        <v>-26984.95</v>
      </c>
    </row>
    <row r="706" spans="1:7" x14ac:dyDescent="0.25">
      <c r="A706" t="s">
        <v>1109</v>
      </c>
      <c r="B706" t="s">
        <v>335</v>
      </c>
      <c r="C706" t="s">
        <v>271</v>
      </c>
      <c r="D706" s="85">
        <v>-14003.87</v>
      </c>
      <c r="E706" s="85">
        <v>14003.87</v>
      </c>
      <c r="F706" s="85">
        <v>18120.63</v>
      </c>
      <c r="G706" s="85">
        <v>-18120.63</v>
      </c>
    </row>
    <row r="707" spans="1:7" x14ac:dyDescent="0.25">
      <c r="A707" t="s">
        <v>1110</v>
      </c>
      <c r="B707" t="s">
        <v>1111</v>
      </c>
      <c r="C707" t="s">
        <v>283</v>
      </c>
      <c r="D707" s="85">
        <v>-9761.92</v>
      </c>
      <c r="E707" s="85">
        <v>9761.92</v>
      </c>
      <c r="F707" s="85">
        <v>8964.25</v>
      </c>
      <c r="G707" s="85">
        <v>-8964.25</v>
      </c>
    </row>
    <row r="708" spans="1:7" x14ac:dyDescent="0.25">
      <c r="A708" t="s">
        <v>1112</v>
      </c>
      <c r="B708" t="s">
        <v>1113</v>
      </c>
      <c r="C708" t="s">
        <v>283</v>
      </c>
      <c r="D708" s="85">
        <v>-4241.95</v>
      </c>
      <c r="E708" s="85">
        <v>4241.95</v>
      </c>
      <c r="F708" s="85">
        <v>9156.3799999999992</v>
      </c>
      <c r="G708" s="85">
        <v>-9156.3799999999992</v>
      </c>
    </row>
    <row r="709" spans="1:7" x14ac:dyDescent="0.25">
      <c r="A709" t="s">
        <v>1114</v>
      </c>
      <c r="B709" t="s">
        <v>302</v>
      </c>
      <c r="C709" t="s">
        <v>271</v>
      </c>
      <c r="D709" s="85">
        <v>-5266.77</v>
      </c>
      <c r="E709" s="85">
        <v>0.01</v>
      </c>
      <c r="F709" s="85">
        <v>3597.56</v>
      </c>
      <c r="G709" s="85">
        <v>-8864.32</v>
      </c>
    </row>
    <row r="710" spans="1:7" x14ac:dyDescent="0.25">
      <c r="A710" t="s">
        <v>1115</v>
      </c>
      <c r="B710" t="s">
        <v>1113</v>
      </c>
      <c r="C710" t="s">
        <v>283</v>
      </c>
      <c r="D710" s="85">
        <v>-1391.52</v>
      </c>
      <c r="E710" s="85">
        <v>0</v>
      </c>
      <c r="F710" s="85">
        <v>235.39</v>
      </c>
      <c r="G710" s="85">
        <v>-1626.91</v>
      </c>
    </row>
    <row r="711" spans="1:7" x14ac:dyDescent="0.25">
      <c r="A711" t="s">
        <v>1116</v>
      </c>
      <c r="B711" t="s">
        <v>1117</v>
      </c>
      <c r="C711" t="s">
        <v>283</v>
      </c>
      <c r="D711" s="85">
        <v>-3875.25</v>
      </c>
      <c r="E711" s="85">
        <v>0.01</v>
      </c>
      <c r="F711" s="85">
        <v>2176.44</v>
      </c>
      <c r="G711" s="85">
        <v>-6051.68</v>
      </c>
    </row>
    <row r="712" spans="1:7" x14ac:dyDescent="0.25">
      <c r="A712" t="s">
        <v>2911</v>
      </c>
      <c r="B712" t="s">
        <v>2912</v>
      </c>
      <c r="C712" t="s">
        <v>283</v>
      </c>
      <c r="D712" s="85">
        <v>0</v>
      </c>
      <c r="E712" s="85">
        <v>0</v>
      </c>
      <c r="F712" s="85">
        <v>1185.73</v>
      </c>
      <c r="G712" s="85">
        <v>-1185.73</v>
      </c>
    </row>
    <row r="713" spans="1:7" x14ac:dyDescent="0.25">
      <c r="A713" t="s">
        <v>2467</v>
      </c>
      <c r="B713" t="s">
        <v>2468</v>
      </c>
      <c r="C713" t="s">
        <v>271</v>
      </c>
      <c r="D713" s="85">
        <v>0</v>
      </c>
      <c r="E713" s="85">
        <v>11536000.539999999</v>
      </c>
      <c r="F713" s="85">
        <v>11536000.539999999</v>
      </c>
      <c r="G713" s="85">
        <v>0</v>
      </c>
    </row>
    <row r="714" spans="1:7" x14ac:dyDescent="0.25">
      <c r="A714" t="s">
        <v>2469</v>
      </c>
      <c r="B714" t="s">
        <v>2470</v>
      </c>
      <c r="C714" t="s">
        <v>271</v>
      </c>
      <c r="D714" s="85">
        <v>0</v>
      </c>
      <c r="E714" s="85">
        <v>11536000.539999999</v>
      </c>
      <c r="F714" s="85">
        <v>11536000.539999999</v>
      </c>
      <c r="G714" s="85">
        <v>0</v>
      </c>
    </row>
    <row r="715" spans="1:7" x14ac:dyDescent="0.25">
      <c r="A715" t="s">
        <v>2471</v>
      </c>
      <c r="B715" t="s">
        <v>2472</v>
      </c>
      <c r="C715" t="s">
        <v>283</v>
      </c>
      <c r="D715" s="85">
        <v>0</v>
      </c>
      <c r="E715" s="85">
        <v>11536000.539999999</v>
      </c>
      <c r="F715" s="85">
        <v>11536000.539999999</v>
      </c>
      <c r="G715" s="85">
        <v>0</v>
      </c>
    </row>
    <row r="716" spans="1:7" x14ac:dyDescent="0.25">
      <c r="A716" t="s">
        <v>1119</v>
      </c>
      <c r="B716" t="s">
        <v>1120</v>
      </c>
      <c r="C716" t="s">
        <v>271</v>
      </c>
      <c r="D716" s="85">
        <v>-152559.82</v>
      </c>
      <c r="E716" s="85">
        <v>29014.15</v>
      </c>
      <c r="F716" s="85">
        <v>57354.46</v>
      </c>
      <c r="G716" s="85">
        <v>-180900.13</v>
      </c>
    </row>
    <row r="717" spans="1:7" x14ac:dyDescent="0.25">
      <c r="A717" t="s">
        <v>1121</v>
      </c>
      <c r="B717" t="s">
        <v>1122</v>
      </c>
      <c r="C717" t="s">
        <v>271</v>
      </c>
      <c r="D717" s="85">
        <v>-142776.88</v>
      </c>
      <c r="E717" s="85">
        <v>25376.52</v>
      </c>
      <c r="F717" s="85">
        <v>26813.200000000001</v>
      </c>
      <c r="G717" s="85">
        <v>-144213.56</v>
      </c>
    </row>
    <row r="718" spans="1:7" x14ac:dyDescent="0.25">
      <c r="A718" t="s">
        <v>1123</v>
      </c>
      <c r="B718" t="s">
        <v>1124</v>
      </c>
      <c r="C718" t="s">
        <v>271</v>
      </c>
      <c r="D718" s="85">
        <v>-33653.300000000003</v>
      </c>
      <c r="E718" s="85">
        <v>16917.68</v>
      </c>
      <c r="F718" s="85">
        <v>16567.36</v>
      </c>
      <c r="G718" s="85">
        <v>-33302.980000000003</v>
      </c>
    </row>
    <row r="719" spans="1:7" x14ac:dyDescent="0.25">
      <c r="A719" t="s">
        <v>1125</v>
      </c>
      <c r="B719" t="s">
        <v>1126</v>
      </c>
      <c r="C719" t="s">
        <v>271</v>
      </c>
      <c r="D719" s="85">
        <v>-33653.300000000003</v>
      </c>
      <c r="E719" s="85">
        <v>16917.68</v>
      </c>
      <c r="F719" s="85">
        <v>16567.36</v>
      </c>
      <c r="G719" s="85">
        <v>-33302.980000000003</v>
      </c>
    </row>
    <row r="720" spans="1:7" x14ac:dyDescent="0.25">
      <c r="A720" t="s">
        <v>1127</v>
      </c>
      <c r="B720" t="s">
        <v>302</v>
      </c>
      <c r="C720" t="s">
        <v>271</v>
      </c>
      <c r="D720" s="85">
        <v>-30080.05</v>
      </c>
      <c r="E720" s="85">
        <v>15104.65</v>
      </c>
      <c r="F720" s="85">
        <v>14754.08</v>
      </c>
      <c r="G720" s="85">
        <v>-29729.48</v>
      </c>
    </row>
    <row r="721" spans="1:7" x14ac:dyDescent="0.25">
      <c r="A721" t="s">
        <v>1128</v>
      </c>
      <c r="B721" t="s">
        <v>1129</v>
      </c>
      <c r="C721" t="s">
        <v>283</v>
      </c>
      <c r="D721" s="85">
        <v>-30080.05</v>
      </c>
      <c r="E721" s="85">
        <v>15104.65</v>
      </c>
      <c r="F721" s="85">
        <v>14754.08</v>
      </c>
      <c r="G721" s="85">
        <v>-29729.48</v>
      </c>
    </row>
    <row r="722" spans="1:7" x14ac:dyDescent="0.25">
      <c r="A722" t="s">
        <v>1130</v>
      </c>
      <c r="B722" t="s">
        <v>591</v>
      </c>
      <c r="C722" t="s">
        <v>271</v>
      </c>
      <c r="D722" s="85">
        <v>-3573.25</v>
      </c>
      <c r="E722" s="85">
        <v>1813.03</v>
      </c>
      <c r="F722" s="85">
        <v>1813.28</v>
      </c>
      <c r="G722" s="85">
        <v>-3573.5</v>
      </c>
    </row>
    <row r="723" spans="1:7" x14ac:dyDescent="0.25">
      <c r="A723" t="s">
        <v>1131</v>
      </c>
      <c r="B723" t="s">
        <v>1132</v>
      </c>
      <c r="C723" t="s">
        <v>283</v>
      </c>
      <c r="D723" s="85">
        <v>-3573.25</v>
      </c>
      <c r="E723" s="85">
        <v>1813.03</v>
      </c>
      <c r="F723" s="85">
        <v>1813.28</v>
      </c>
      <c r="G723" s="85">
        <v>-3573.5</v>
      </c>
    </row>
    <row r="724" spans="1:7" x14ac:dyDescent="0.25">
      <c r="A724" t="s">
        <v>1133</v>
      </c>
      <c r="B724" t="s">
        <v>1134</v>
      </c>
      <c r="C724" t="s">
        <v>271</v>
      </c>
      <c r="D724" s="85">
        <v>-16826.650000000001</v>
      </c>
      <c r="E724" s="85">
        <v>8458.84</v>
      </c>
      <c r="F724" s="85">
        <v>8283.68</v>
      </c>
      <c r="G724" s="85">
        <v>-16651.490000000002</v>
      </c>
    </row>
    <row r="725" spans="1:7" x14ac:dyDescent="0.25">
      <c r="A725" t="s">
        <v>1135</v>
      </c>
      <c r="B725" t="s">
        <v>1134</v>
      </c>
      <c r="C725" t="s">
        <v>271</v>
      </c>
      <c r="D725" s="85">
        <v>-16826.650000000001</v>
      </c>
      <c r="E725" s="85">
        <v>8458.84</v>
      </c>
      <c r="F725" s="85">
        <v>8283.68</v>
      </c>
      <c r="G725" s="85">
        <v>-16651.490000000002</v>
      </c>
    </row>
    <row r="726" spans="1:7" x14ac:dyDescent="0.25">
      <c r="A726" t="s">
        <v>1136</v>
      </c>
      <c r="B726" t="s">
        <v>302</v>
      </c>
      <c r="C726" t="s">
        <v>271</v>
      </c>
      <c r="D726" s="85">
        <v>-15040.02</v>
      </c>
      <c r="E726" s="85">
        <v>7552.32</v>
      </c>
      <c r="F726" s="85">
        <v>7377.04</v>
      </c>
      <c r="G726" s="85">
        <v>-14864.74</v>
      </c>
    </row>
    <row r="727" spans="1:7" x14ac:dyDescent="0.25">
      <c r="A727" t="s">
        <v>1137</v>
      </c>
      <c r="B727" t="s">
        <v>1138</v>
      </c>
      <c r="C727" t="s">
        <v>283</v>
      </c>
      <c r="D727" s="85">
        <v>-15040.02</v>
      </c>
      <c r="E727" s="85">
        <v>7552.32</v>
      </c>
      <c r="F727" s="85">
        <v>7377.04</v>
      </c>
      <c r="G727" s="85">
        <v>-14864.74</v>
      </c>
    </row>
    <row r="728" spans="1:7" x14ac:dyDescent="0.25">
      <c r="A728" t="s">
        <v>1139</v>
      </c>
      <c r="B728" t="s">
        <v>591</v>
      </c>
      <c r="C728" t="s">
        <v>271</v>
      </c>
      <c r="D728" s="85">
        <v>-1786.63</v>
      </c>
      <c r="E728" s="85">
        <v>906.52</v>
      </c>
      <c r="F728" s="85">
        <v>906.64</v>
      </c>
      <c r="G728" s="85">
        <v>-1786.75</v>
      </c>
    </row>
    <row r="729" spans="1:7" x14ac:dyDescent="0.25">
      <c r="A729" t="s">
        <v>1140</v>
      </c>
      <c r="B729" t="s">
        <v>1141</v>
      </c>
      <c r="C729" t="s">
        <v>283</v>
      </c>
      <c r="D729" s="85">
        <v>-1786.63</v>
      </c>
      <c r="E729" s="85">
        <v>906.52</v>
      </c>
      <c r="F729" s="85">
        <v>906.64</v>
      </c>
      <c r="G729" s="85">
        <v>-1786.75</v>
      </c>
    </row>
    <row r="730" spans="1:7" x14ac:dyDescent="0.25">
      <c r="A730" t="s">
        <v>1142</v>
      </c>
      <c r="B730" t="s">
        <v>1143</v>
      </c>
      <c r="C730" t="s">
        <v>271</v>
      </c>
      <c r="D730" s="85">
        <v>-92296.93</v>
      </c>
      <c r="E730" s="85">
        <v>0</v>
      </c>
      <c r="F730" s="85">
        <v>1962.16</v>
      </c>
      <c r="G730" s="85">
        <v>-94259.09</v>
      </c>
    </row>
    <row r="731" spans="1:7" x14ac:dyDescent="0.25">
      <c r="A731" t="s">
        <v>1144</v>
      </c>
      <c r="B731" t="s">
        <v>1143</v>
      </c>
      <c r="C731" t="s">
        <v>271</v>
      </c>
      <c r="D731" s="85">
        <v>-92296.93</v>
      </c>
      <c r="E731" s="85">
        <v>0</v>
      </c>
      <c r="F731" s="85">
        <v>1962.16</v>
      </c>
      <c r="G731" s="85">
        <v>-94259.09</v>
      </c>
    </row>
    <row r="732" spans="1:7" x14ac:dyDescent="0.25">
      <c r="A732" t="s">
        <v>1145</v>
      </c>
      <c r="B732" t="s">
        <v>591</v>
      </c>
      <c r="C732" t="s">
        <v>271</v>
      </c>
      <c r="D732" s="85">
        <v>-92296.93</v>
      </c>
      <c r="E732" s="85">
        <v>0</v>
      </c>
      <c r="F732" s="85">
        <v>1962.16</v>
      </c>
      <c r="G732" s="85">
        <v>-94259.09</v>
      </c>
    </row>
    <row r="733" spans="1:7" x14ac:dyDescent="0.25">
      <c r="A733" t="s">
        <v>1146</v>
      </c>
      <c r="B733" t="s">
        <v>1147</v>
      </c>
      <c r="C733" t="s">
        <v>283</v>
      </c>
      <c r="D733" s="85">
        <v>-92296.93</v>
      </c>
      <c r="E733" s="85">
        <v>0</v>
      </c>
      <c r="F733" s="85">
        <v>1962.16</v>
      </c>
      <c r="G733" s="85">
        <v>-94259.09</v>
      </c>
    </row>
    <row r="734" spans="1:7" x14ac:dyDescent="0.25">
      <c r="A734" t="s">
        <v>1148</v>
      </c>
      <c r="B734" t="s">
        <v>1149</v>
      </c>
      <c r="C734" t="s">
        <v>271</v>
      </c>
      <c r="D734" s="85">
        <v>-9782.94</v>
      </c>
      <c r="E734" s="85">
        <v>3637.63</v>
      </c>
      <c r="F734" s="85">
        <v>3637.63</v>
      </c>
      <c r="G734" s="85">
        <v>-9782.94</v>
      </c>
    </row>
    <row r="735" spans="1:7" x14ac:dyDescent="0.25">
      <c r="A735" t="s">
        <v>1150</v>
      </c>
      <c r="B735" t="s">
        <v>1149</v>
      </c>
      <c r="C735" t="s">
        <v>271</v>
      </c>
      <c r="D735" s="85">
        <v>-9782.94</v>
      </c>
      <c r="E735" s="85">
        <v>3637.63</v>
      </c>
      <c r="F735" s="85">
        <v>3637.63</v>
      </c>
      <c r="G735" s="85">
        <v>-9782.94</v>
      </c>
    </row>
    <row r="736" spans="1:7" x14ac:dyDescent="0.25">
      <c r="A736" t="s">
        <v>1151</v>
      </c>
      <c r="B736" t="s">
        <v>586</v>
      </c>
      <c r="C736" t="s">
        <v>271</v>
      </c>
      <c r="D736" s="85">
        <v>0</v>
      </c>
      <c r="E736" s="85">
        <v>1988.3</v>
      </c>
      <c r="F736" s="85">
        <v>1988.3</v>
      </c>
      <c r="G736" s="85">
        <v>0</v>
      </c>
    </row>
    <row r="737" spans="1:7" x14ac:dyDescent="0.25">
      <c r="A737" t="s">
        <v>1152</v>
      </c>
      <c r="B737" t="s">
        <v>1153</v>
      </c>
      <c r="C737" t="s">
        <v>283</v>
      </c>
      <c r="D737" s="85">
        <v>0</v>
      </c>
      <c r="E737" s="85">
        <v>1988.3</v>
      </c>
      <c r="F737" s="85">
        <v>1988.3</v>
      </c>
      <c r="G737" s="85">
        <v>0</v>
      </c>
    </row>
    <row r="738" spans="1:7" x14ac:dyDescent="0.25">
      <c r="A738" t="s">
        <v>1154</v>
      </c>
      <c r="B738" t="s">
        <v>302</v>
      </c>
      <c r="C738" t="s">
        <v>271</v>
      </c>
      <c r="D738" s="85">
        <v>-9782.94</v>
      </c>
      <c r="E738" s="85">
        <v>0</v>
      </c>
      <c r="F738" s="85">
        <v>0</v>
      </c>
      <c r="G738" s="85">
        <v>-9782.94</v>
      </c>
    </row>
    <row r="739" spans="1:7" x14ac:dyDescent="0.25">
      <c r="A739" t="s">
        <v>1155</v>
      </c>
      <c r="B739" t="s">
        <v>1156</v>
      </c>
      <c r="C739" t="s">
        <v>283</v>
      </c>
      <c r="D739" s="85">
        <v>-9782.94</v>
      </c>
      <c r="E739" s="85">
        <v>0</v>
      </c>
      <c r="F739" s="85">
        <v>0</v>
      </c>
      <c r="G739" s="85">
        <v>-9782.94</v>
      </c>
    </row>
    <row r="740" spans="1:7" x14ac:dyDescent="0.25">
      <c r="A740" t="s">
        <v>1157</v>
      </c>
      <c r="B740" t="s">
        <v>591</v>
      </c>
      <c r="C740" t="s">
        <v>271</v>
      </c>
      <c r="D740" s="85">
        <v>0</v>
      </c>
      <c r="E740" s="85">
        <v>1649.33</v>
      </c>
      <c r="F740" s="85">
        <v>1649.33</v>
      </c>
      <c r="G740" s="85">
        <v>0</v>
      </c>
    </row>
    <row r="741" spans="1:7" x14ac:dyDescent="0.25">
      <c r="A741" t="s">
        <v>1158</v>
      </c>
      <c r="B741" t="s">
        <v>1159</v>
      </c>
      <c r="C741" t="s">
        <v>283</v>
      </c>
      <c r="D741" s="85">
        <v>0</v>
      </c>
      <c r="E741" s="85">
        <v>1649.33</v>
      </c>
      <c r="F741" s="85">
        <v>1649.33</v>
      </c>
      <c r="G741" s="85">
        <v>0</v>
      </c>
    </row>
    <row r="742" spans="1:7" x14ac:dyDescent="0.25">
      <c r="A742" t="s">
        <v>1160</v>
      </c>
      <c r="B742" t="s">
        <v>1161</v>
      </c>
      <c r="C742" t="s">
        <v>271</v>
      </c>
      <c r="D742" s="85">
        <v>0</v>
      </c>
      <c r="E742" s="85">
        <v>0</v>
      </c>
      <c r="F742" s="85">
        <v>26903.63</v>
      </c>
      <c r="G742" s="85">
        <v>-26903.63</v>
      </c>
    </row>
    <row r="743" spans="1:7" x14ac:dyDescent="0.25">
      <c r="A743" t="s">
        <v>1162</v>
      </c>
      <c r="B743" t="s">
        <v>1163</v>
      </c>
      <c r="C743" t="s">
        <v>271</v>
      </c>
      <c r="D743" s="85">
        <v>0</v>
      </c>
      <c r="E743" s="85">
        <v>0</v>
      </c>
      <c r="F743" s="85">
        <v>26903.63</v>
      </c>
      <c r="G743" s="85">
        <v>-26903.63</v>
      </c>
    </row>
    <row r="744" spans="1:7" x14ac:dyDescent="0.25">
      <c r="A744" t="s">
        <v>1164</v>
      </c>
      <c r="B744" t="s">
        <v>1163</v>
      </c>
      <c r="C744" t="s">
        <v>271</v>
      </c>
      <c r="D744" s="85">
        <v>0</v>
      </c>
      <c r="E744" s="85">
        <v>0</v>
      </c>
      <c r="F744" s="85">
        <v>26903.63</v>
      </c>
      <c r="G744" s="85">
        <v>-26903.63</v>
      </c>
    </row>
    <row r="745" spans="1:7" x14ac:dyDescent="0.25">
      <c r="A745" t="s">
        <v>1165</v>
      </c>
      <c r="B745" t="s">
        <v>302</v>
      </c>
      <c r="C745" t="s">
        <v>271</v>
      </c>
      <c r="D745" s="85">
        <v>0</v>
      </c>
      <c r="E745" s="85">
        <v>0</v>
      </c>
      <c r="F745" s="85">
        <v>26903.63</v>
      </c>
      <c r="G745" s="85">
        <v>-26903.63</v>
      </c>
    </row>
    <row r="746" spans="1:7" x14ac:dyDescent="0.25">
      <c r="A746" t="s">
        <v>1166</v>
      </c>
      <c r="B746" t="s">
        <v>1167</v>
      </c>
      <c r="C746" t="s">
        <v>283</v>
      </c>
      <c r="D746" s="85">
        <v>0</v>
      </c>
      <c r="E746" s="85">
        <v>0</v>
      </c>
      <c r="F746" s="85">
        <v>26903.63</v>
      </c>
      <c r="G746" s="85">
        <v>-26903.63</v>
      </c>
    </row>
    <row r="747" spans="1:7" x14ac:dyDescent="0.25">
      <c r="A747" t="s">
        <v>1168</v>
      </c>
      <c r="B747" t="s">
        <v>1169</v>
      </c>
      <c r="C747" t="s">
        <v>271</v>
      </c>
      <c r="D747" s="85">
        <v>-12917845.689999999</v>
      </c>
      <c r="E747" s="85">
        <v>0.01</v>
      </c>
      <c r="F747" s="85">
        <v>0</v>
      </c>
      <c r="G747" s="85">
        <v>-12917845.68</v>
      </c>
    </row>
    <row r="748" spans="1:7" x14ac:dyDescent="0.25">
      <c r="A748" t="s">
        <v>1170</v>
      </c>
      <c r="B748" t="s">
        <v>847</v>
      </c>
      <c r="C748" t="s">
        <v>271</v>
      </c>
      <c r="D748" s="85">
        <v>-12917845.689999999</v>
      </c>
      <c r="E748" s="85">
        <v>0.01</v>
      </c>
      <c r="F748" s="85">
        <v>0</v>
      </c>
      <c r="G748" s="85">
        <v>-12917845.68</v>
      </c>
    </row>
    <row r="749" spans="1:7" x14ac:dyDescent="0.25">
      <c r="A749" t="s">
        <v>1171</v>
      </c>
      <c r="B749" t="s">
        <v>302</v>
      </c>
      <c r="C749" t="s">
        <v>271</v>
      </c>
      <c r="D749" s="85">
        <v>-12917845.689999999</v>
      </c>
      <c r="E749" s="85">
        <v>0.01</v>
      </c>
      <c r="F749" s="85">
        <v>0</v>
      </c>
      <c r="G749" s="85">
        <v>-12917845.68</v>
      </c>
    </row>
    <row r="750" spans="1:7" x14ac:dyDescent="0.25">
      <c r="A750" t="s">
        <v>1172</v>
      </c>
      <c r="B750" t="s">
        <v>1173</v>
      </c>
      <c r="C750" t="s">
        <v>283</v>
      </c>
      <c r="D750" s="85">
        <v>-12917845.689999999</v>
      </c>
      <c r="E750" s="85">
        <v>0.01</v>
      </c>
      <c r="F750" s="85">
        <v>0</v>
      </c>
      <c r="G750" s="85">
        <v>-12917845.68</v>
      </c>
    </row>
    <row r="751" spans="1:7" x14ac:dyDescent="0.25">
      <c r="A751" t="s">
        <v>1174</v>
      </c>
      <c r="B751" t="s">
        <v>1175</v>
      </c>
      <c r="C751" t="s">
        <v>271</v>
      </c>
      <c r="D751" s="85">
        <v>-22925.46</v>
      </c>
      <c r="E751" s="85">
        <v>2720</v>
      </c>
      <c r="F751" s="85">
        <v>3662.28</v>
      </c>
      <c r="G751" s="85">
        <v>-23867.74</v>
      </c>
    </row>
    <row r="752" spans="1:7" x14ac:dyDescent="0.25">
      <c r="A752" t="s">
        <v>1176</v>
      </c>
      <c r="B752" t="s">
        <v>1177</v>
      </c>
      <c r="C752" t="s">
        <v>271</v>
      </c>
      <c r="D752" s="85">
        <v>-14807.89</v>
      </c>
      <c r="E752" s="85">
        <v>0</v>
      </c>
      <c r="F752" s="85">
        <v>942.28</v>
      </c>
      <c r="G752" s="85">
        <v>-15750.17</v>
      </c>
    </row>
    <row r="753" spans="1:7" x14ac:dyDescent="0.25">
      <c r="A753" t="s">
        <v>1178</v>
      </c>
      <c r="B753" t="s">
        <v>1177</v>
      </c>
      <c r="C753" t="s">
        <v>271</v>
      </c>
      <c r="D753" s="85">
        <v>-14807.89</v>
      </c>
      <c r="E753" s="85">
        <v>0</v>
      </c>
      <c r="F753" s="85">
        <v>942.28</v>
      </c>
      <c r="G753" s="85">
        <v>-15750.17</v>
      </c>
    </row>
    <row r="754" spans="1:7" x14ac:dyDescent="0.25">
      <c r="A754" t="s">
        <v>1179</v>
      </c>
      <c r="B754" t="s">
        <v>1177</v>
      </c>
      <c r="C754" t="s">
        <v>271</v>
      </c>
      <c r="D754" s="85">
        <v>-14807.89</v>
      </c>
      <c r="E754" s="85">
        <v>0</v>
      </c>
      <c r="F754" s="85">
        <v>942.28</v>
      </c>
      <c r="G754" s="85">
        <v>-15750.17</v>
      </c>
    </row>
    <row r="755" spans="1:7" x14ac:dyDescent="0.25">
      <c r="A755" t="s">
        <v>1180</v>
      </c>
      <c r="B755" t="s">
        <v>1177</v>
      </c>
      <c r="C755" t="s">
        <v>271</v>
      </c>
      <c r="D755" s="85">
        <v>-14807.89</v>
      </c>
      <c r="E755" s="85">
        <v>0</v>
      </c>
      <c r="F755" s="85">
        <v>942.28</v>
      </c>
      <c r="G755" s="85">
        <v>-15750.17</v>
      </c>
    </row>
    <row r="756" spans="1:7" x14ac:dyDescent="0.25">
      <c r="A756" t="s">
        <v>1181</v>
      </c>
      <c r="B756" t="s">
        <v>1177</v>
      </c>
      <c r="C756" t="s">
        <v>283</v>
      </c>
      <c r="D756" s="85">
        <v>-114.95</v>
      </c>
      <c r="E756" s="85">
        <v>0</v>
      </c>
      <c r="F756" s="85">
        <v>0</v>
      </c>
      <c r="G756" s="85">
        <v>-114.95</v>
      </c>
    </row>
    <row r="757" spans="1:7" x14ac:dyDescent="0.25">
      <c r="A757" t="s">
        <v>2218</v>
      </c>
      <c r="B757" t="s">
        <v>2219</v>
      </c>
      <c r="C757" t="s">
        <v>283</v>
      </c>
      <c r="D757" s="85">
        <v>-7495.66</v>
      </c>
      <c r="E757" s="85">
        <v>0</v>
      </c>
      <c r="F757" s="85">
        <v>0</v>
      </c>
      <c r="G757" s="85">
        <v>-7495.66</v>
      </c>
    </row>
    <row r="758" spans="1:7" x14ac:dyDescent="0.25">
      <c r="A758" t="s">
        <v>2280</v>
      </c>
      <c r="B758" t="s">
        <v>2281</v>
      </c>
      <c r="C758" t="s">
        <v>283</v>
      </c>
      <c r="D758" s="85">
        <v>-2158.54</v>
      </c>
      <c r="E758" s="85">
        <v>0</v>
      </c>
      <c r="F758" s="85">
        <v>0</v>
      </c>
      <c r="G758" s="85">
        <v>-2158.54</v>
      </c>
    </row>
    <row r="759" spans="1:7" x14ac:dyDescent="0.25">
      <c r="A759" t="s">
        <v>2473</v>
      </c>
      <c r="B759" t="s">
        <v>2474</v>
      </c>
      <c r="C759" t="s">
        <v>283</v>
      </c>
      <c r="D759" s="85">
        <v>-5038.74</v>
      </c>
      <c r="E759" s="85">
        <v>0</v>
      </c>
      <c r="F759" s="85">
        <v>0</v>
      </c>
      <c r="G759" s="85">
        <v>-5038.74</v>
      </c>
    </row>
    <row r="760" spans="1:7" x14ac:dyDescent="0.25">
      <c r="A760" t="s">
        <v>2913</v>
      </c>
      <c r="B760" t="s">
        <v>2914</v>
      </c>
      <c r="C760" t="s">
        <v>283</v>
      </c>
      <c r="D760" s="85">
        <v>0</v>
      </c>
      <c r="E760" s="85">
        <v>0</v>
      </c>
      <c r="F760" s="85">
        <v>942.28</v>
      </c>
      <c r="G760" s="85">
        <v>-942.28</v>
      </c>
    </row>
    <row r="761" spans="1:7" x14ac:dyDescent="0.25">
      <c r="A761" t="s">
        <v>1182</v>
      </c>
      <c r="B761" t="s">
        <v>331</v>
      </c>
      <c r="C761" t="s">
        <v>271</v>
      </c>
      <c r="D761" s="85">
        <v>-8117.57</v>
      </c>
      <c r="E761" s="85">
        <v>2720</v>
      </c>
      <c r="F761" s="85">
        <v>2720</v>
      </c>
      <c r="G761" s="85">
        <v>-8117.57</v>
      </c>
    </row>
    <row r="762" spans="1:7" x14ac:dyDescent="0.25">
      <c r="A762" t="s">
        <v>1183</v>
      </c>
      <c r="B762" t="s">
        <v>1184</v>
      </c>
      <c r="C762" t="s">
        <v>271</v>
      </c>
      <c r="D762" s="85">
        <v>-8117.57</v>
      </c>
      <c r="E762" s="85">
        <v>2720</v>
      </c>
      <c r="F762" s="85">
        <v>2720</v>
      </c>
      <c r="G762" s="85">
        <v>-8117.57</v>
      </c>
    </row>
    <row r="763" spans="1:7" x14ac:dyDescent="0.25">
      <c r="A763" t="s">
        <v>1185</v>
      </c>
      <c r="B763" t="s">
        <v>1184</v>
      </c>
      <c r="C763" t="s">
        <v>271</v>
      </c>
      <c r="D763" s="85">
        <v>-8117.57</v>
      </c>
      <c r="E763" s="85">
        <v>2720</v>
      </c>
      <c r="F763" s="85">
        <v>2720</v>
      </c>
      <c r="G763" s="85">
        <v>-8117.57</v>
      </c>
    </row>
    <row r="764" spans="1:7" x14ac:dyDescent="0.25">
      <c r="A764" t="s">
        <v>1186</v>
      </c>
      <c r="B764" t="s">
        <v>1184</v>
      </c>
      <c r="C764" t="s">
        <v>271</v>
      </c>
      <c r="D764" s="85">
        <v>-8117.57</v>
      </c>
      <c r="E764" s="85">
        <v>2720</v>
      </c>
      <c r="F764" s="85">
        <v>2720</v>
      </c>
      <c r="G764" s="85">
        <v>-8117.57</v>
      </c>
    </row>
    <row r="765" spans="1:7" x14ac:dyDescent="0.25">
      <c r="A765" t="s">
        <v>1187</v>
      </c>
      <c r="B765" t="s">
        <v>294</v>
      </c>
      <c r="C765" t="s">
        <v>283</v>
      </c>
      <c r="D765" s="85">
        <v>-6427.17</v>
      </c>
      <c r="E765" s="85">
        <v>0</v>
      </c>
      <c r="F765" s="85">
        <v>0</v>
      </c>
      <c r="G765" s="85">
        <v>-6427.17</v>
      </c>
    </row>
    <row r="766" spans="1:7" x14ac:dyDescent="0.25">
      <c r="A766" t="s">
        <v>1188</v>
      </c>
      <c r="B766" t="s">
        <v>1189</v>
      </c>
      <c r="C766" t="s">
        <v>283</v>
      </c>
      <c r="D766" s="85">
        <v>0</v>
      </c>
      <c r="E766" s="85">
        <v>2720</v>
      </c>
      <c r="F766" s="85">
        <v>2720</v>
      </c>
      <c r="G766" s="85">
        <v>0</v>
      </c>
    </row>
    <row r="767" spans="1:7" x14ac:dyDescent="0.25">
      <c r="A767" t="s">
        <v>1190</v>
      </c>
      <c r="B767" t="s">
        <v>1191</v>
      </c>
      <c r="C767" t="s">
        <v>283</v>
      </c>
      <c r="D767" s="85">
        <v>-1690.4</v>
      </c>
      <c r="E767" s="85">
        <v>0</v>
      </c>
      <c r="F767" s="85">
        <v>0</v>
      </c>
      <c r="G767" s="85">
        <v>-1690.4</v>
      </c>
    </row>
    <row r="768" spans="1:7" x14ac:dyDescent="0.25">
      <c r="A768" t="s">
        <v>1192</v>
      </c>
      <c r="B768" t="s">
        <v>1193</v>
      </c>
      <c r="C768" t="s">
        <v>271</v>
      </c>
      <c r="D768" s="85">
        <v>-206997072.69999999</v>
      </c>
      <c r="E768" s="85">
        <v>0.01</v>
      </c>
      <c r="F768" s="85">
        <v>1765402.34</v>
      </c>
      <c r="G768" s="85">
        <v>-208762475.03</v>
      </c>
    </row>
    <row r="769" spans="1:7" x14ac:dyDescent="0.25">
      <c r="A769" t="s">
        <v>1194</v>
      </c>
      <c r="B769" t="s">
        <v>513</v>
      </c>
      <c r="C769" t="s">
        <v>271</v>
      </c>
      <c r="D769" s="85">
        <v>-23067.29</v>
      </c>
      <c r="E769" s="85">
        <v>0.01</v>
      </c>
      <c r="F769" s="85">
        <v>990.36</v>
      </c>
      <c r="G769" s="85">
        <v>-24057.64</v>
      </c>
    </row>
    <row r="770" spans="1:7" x14ac:dyDescent="0.25">
      <c r="A770" t="s">
        <v>1195</v>
      </c>
      <c r="B770" t="s">
        <v>912</v>
      </c>
      <c r="C770" t="s">
        <v>271</v>
      </c>
      <c r="D770" s="85">
        <v>-23067.29</v>
      </c>
      <c r="E770" s="85">
        <v>0.01</v>
      </c>
      <c r="F770" s="85">
        <v>990.36</v>
      </c>
      <c r="G770" s="85">
        <v>-24057.64</v>
      </c>
    </row>
    <row r="771" spans="1:7" x14ac:dyDescent="0.25">
      <c r="A771" t="s">
        <v>1196</v>
      </c>
      <c r="B771" t="s">
        <v>302</v>
      </c>
      <c r="C771" t="s">
        <v>271</v>
      </c>
      <c r="D771" s="85">
        <v>-23067.29</v>
      </c>
      <c r="E771" s="85">
        <v>0.01</v>
      </c>
      <c r="F771" s="85">
        <v>990.36</v>
      </c>
      <c r="G771" s="85">
        <v>-24057.64</v>
      </c>
    </row>
    <row r="772" spans="1:7" x14ac:dyDescent="0.25">
      <c r="A772" t="s">
        <v>1197</v>
      </c>
      <c r="B772" t="s">
        <v>912</v>
      </c>
      <c r="C772" t="s">
        <v>283</v>
      </c>
      <c r="D772" s="85">
        <v>-23067.29</v>
      </c>
      <c r="E772" s="85">
        <v>0.01</v>
      </c>
      <c r="F772" s="85">
        <v>990.36</v>
      </c>
      <c r="G772" s="85">
        <v>-24057.64</v>
      </c>
    </row>
    <row r="773" spans="1:7" x14ac:dyDescent="0.25">
      <c r="A773" t="s">
        <v>2235</v>
      </c>
      <c r="B773" t="s">
        <v>1118</v>
      </c>
      <c r="C773" t="s">
        <v>271</v>
      </c>
      <c r="D773" s="85">
        <v>-88597.71</v>
      </c>
      <c r="E773" s="85">
        <v>0</v>
      </c>
      <c r="F773" s="85">
        <v>0</v>
      </c>
      <c r="G773" s="85">
        <v>-88597.71</v>
      </c>
    </row>
    <row r="774" spans="1:7" x14ac:dyDescent="0.25">
      <c r="A774" t="s">
        <v>2236</v>
      </c>
      <c r="B774" t="s">
        <v>2237</v>
      </c>
      <c r="C774" t="s">
        <v>271</v>
      </c>
      <c r="D774" s="85">
        <v>-88597.71</v>
      </c>
      <c r="E774" s="85">
        <v>0</v>
      </c>
      <c r="F774" s="85">
        <v>0</v>
      </c>
      <c r="G774" s="85">
        <v>-88597.71</v>
      </c>
    </row>
    <row r="775" spans="1:7" x14ac:dyDescent="0.25">
      <c r="A775" t="s">
        <v>2238</v>
      </c>
      <c r="B775" t="s">
        <v>302</v>
      </c>
      <c r="C775" t="s">
        <v>271</v>
      </c>
      <c r="D775" s="85">
        <v>-88597.71</v>
      </c>
      <c r="E775" s="85">
        <v>0</v>
      </c>
      <c r="F775" s="85">
        <v>0</v>
      </c>
      <c r="G775" s="85">
        <v>-88597.71</v>
      </c>
    </row>
    <row r="776" spans="1:7" x14ac:dyDescent="0.25">
      <c r="A776" t="s">
        <v>2239</v>
      </c>
      <c r="B776" t="s">
        <v>2240</v>
      </c>
      <c r="C776" t="s">
        <v>283</v>
      </c>
      <c r="D776" s="85">
        <v>-88597.71</v>
      </c>
      <c r="E776" s="85">
        <v>0</v>
      </c>
      <c r="F776" s="85">
        <v>0</v>
      </c>
      <c r="G776" s="85">
        <v>-88597.71</v>
      </c>
    </row>
    <row r="777" spans="1:7" x14ac:dyDescent="0.25">
      <c r="A777" t="s">
        <v>1198</v>
      </c>
      <c r="B777" t="s">
        <v>1120</v>
      </c>
      <c r="C777" t="s">
        <v>271</v>
      </c>
      <c r="D777" s="85">
        <v>-911849.42</v>
      </c>
      <c r="E777" s="85">
        <v>0</v>
      </c>
      <c r="F777" s="85">
        <v>16372.31</v>
      </c>
      <c r="G777" s="85">
        <v>-928221.73</v>
      </c>
    </row>
    <row r="778" spans="1:7" x14ac:dyDescent="0.25">
      <c r="A778" t="s">
        <v>1199</v>
      </c>
      <c r="B778" t="s">
        <v>1200</v>
      </c>
      <c r="C778" t="s">
        <v>271</v>
      </c>
      <c r="D778" s="85">
        <v>-911849.42</v>
      </c>
      <c r="E778" s="85">
        <v>0</v>
      </c>
      <c r="F778" s="85">
        <v>16372.31</v>
      </c>
      <c r="G778" s="85">
        <v>-928221.73</v>
      </c>
    </row>
    <row r="779" spans="1:7" x14ac:dyDescent="0.25">
      <c r="A779" t="s">
        <v>1201</v>
      </c>
      <c r="B779" t="s">
        <v>1143</v>
      </c>
      <c r="C779" t="s">
        <v>271</v>
      </c>
      <c r="D779" s="85">
        <v>-911849.42</v>
      </c>
      <c r="E779" s="85">
        <v>0</v>
      </c>
      <c r="F779" s="85">
        <v>16372.31</v>
      </c>
      <c r="G779" s="85">
        <v>-928221.73</v>
      </c>
    </row>
    <row r="780" spans="1:7" x14ac:dyDescent="0.25">
      <c r="A780" t="s">
        <v>1202</v>
      </c>
      <c r="B780" t="s">
        <v>1143</v>
      </c>
      <c r="C780" t="s">
        <v>271</v>
      </c>
      <c r="D780" s="85">
        <v>-911849.42</v>
      </c>
      <c r="E780" s="85">
        <v>0</v>
      </c>
      <c r="F780" s="85">
        <v>16372.31</v>
      </c>
      <c r="G780" s="85">
        <v>-928221.73</v>
      </c>
    </row>
    <row r="781" spans="1:7" x14ac:dyDescent="0.25">
      <c r="A781" t="s">
        <v>1203</v>
      </c>
      <c r="B781" t="s">
        <v>302</v>
      </c>
      <c r="C781" t="s">
        <v>271</v>
      </c>
      <c r="D781" s="85">
        <v>-911849.42</v>
      </c>
      <c r="E781" s="85">
        <v>0</v>
      </c>
      <c r="F781" s="85">
        <v>16372.31</v>
      </c>
      <c r="G781" s="85">
        <v>-928221.73</v>
      </c>
    </row>
    <row r="782" spans="1:7" x14ac:dyDescent="0.25">
      <c r="A782" t="s">
        <v>1204</v>
      </c>
      <c r="B782" t="s">
        <v>1205</v>
      </c>
      <c r="C782" t="s">
        <v>283</v>
      </c>
      <c r="D782" s="85">
        <v>-911849.42</v>
      </c>
      <c r="E782" s="85">
        <v>0</v>
      </c>
      <c r="F782" s="85">
        <v>16372.31</v>
      </c>
      <c r="G782" s="85">
        <v>-928221.73</v>
      </c>
    </row>
    <row r="783" spans="1:7" x14ac:dyDescent="0.25">
      <c r="A783" t="s">
        <v>1206</v>
      </c>
      <c r="B783" t="s">
        <v>1169</v>
      </c>
      <c r="C783" t="s">
        <v>271</v>
      </c>
      <c r="D783" s="85">
        <v>-205973558.28</v>
      </c>
      <c r="E783" s="85">
        <v>0</v>
      </c>
      <c r="F783" s="85">
        <v>1748039.67</v>
      </c>
      <c r="G783" s="85">
        <v>-207721597.94999999</v>
      </c>
    </row>
    <row r="784" spans="1:7" x14ac:dyDescent="0.25">
      <c r="A784" t="s">
        <v>1207</v>
      </c>
      <c r="B784" t="s">
        <v>847</v>
      </c>
      <c r="C784" t="s">
        <v>271</v>
      </c>
      <c r="D784" s="85">
        <v>-205973558.28</v>
      </c>
      <c r="E784" s="85">
        <v>0</v>
      </c>
      <c r="F784" s="85">
        <v>1748039.67</v>
      </c>
      <c r="G784" s="85">
        <v>-207721597.94999999</v>
      </c>
    </row>
    <row r="785" spans="1:7" x14ac:dyDescent="0.25">
      <c r="A785" t="s">
        <v>1208</v>
      </c>
      <c r="B785" t="s">
        <v>847</v>
      </c>
      <c r="C785" t="s">
        <v>271</v>
      </c>
      <c r="D785" s="85">
        <v>-205973558.28</v>
      </c>
      <c r="E785" s="85">
        <v>0</v>
      </c>
      <c r="F785" s="85">
        <v>1748039.67</v>
      </c>
      <c r="G785" s="85">
        <v>-207721597.94999999</v>
      </c>
    </row>
    <row r="786" spans="1:7" x14ac:dyDescent="0.25">
      <c r="A786" t="s">
        <v>1209</v>
      </c>
      <c r="B786" t="s">
        <v>847</v>
      </c>
      <c r="C786" t="s">
        <v>271</v>
      </c>
      <c r="D786" s="85">
        <v>-205973558.28</v>
      </c>
      <c r="E786" s="85">
        <v>0</v>
      </c>
      <c r="F786" s="85">
        <v>1748039.67</v>
      </c>
      <c r="G786" s="85">
        <v>-207721597.94999999</v>
      </c>
    </row>
    <row r="787" spans="1:7" x14ac:dyDescent="0.25">
      <c r="A787" t="s">
        <v>1210</v>
      </c>
      <c r="B787" t="s">
        <v>302</v>
      </c>
      <c r="C787" t="s">
        <v>271</v>
      </c>
      <c r="D787" s="85">
        <v>-205973558.28</v>
      </c>
      <c r="E787" s="85">
        <v>0</v>
      </c>
      <c r="F787" s="85">
        <v>1748039.67</v>
      </c>
      <c r="G787" s="85">
        <v>-207721597.94999999</v>
      </c>
    </row>
    <row r="788" spans="1:7" x14ac:dyDescent="0.25">
      <c r="A788" t="s">
        <v>1211</v>
      </c>
      <c r="B788" t="s">
        <v>2475</v>
      </c>
      <c r="C788" t="s">
        <v>283</v>
      </c>
      <c r="D788" s="85">
        <v>-205973558.28</v>
      </c>
      <c r="E788" s="85">
        <v>0</v>
      </c>
      <c r="F788" s="85">
        <v>1748039.67</v>
      </c>
      <c r="G788" s="85">
        <v>-207721597.94999999</v>
      </c>
    </row>
    <row r="789" spans="1:7" x14ac:dyDescent="0.25">
      <c r="A789" t="s">
        <v>1212</v>
      </c>
      <c r="B789" t="s">
        <v>1213</v>
      </c>
      <c r="C789" t="s">
        <v>271</v>
      </c>
      <c r="D789" s="85">
        <v>-276964122.88</v>
      </c>
      <c r="E789" s="85">
        <v>23961572.25</v>
      </c>
      <c r="F789" s="85">
        <v>21961525.620000001</v>
      </c>
      <c r="G789" s="85">
        <v>-274964076.25</v>
      </c>
    </row>
    <row r="790" spans="1:7" x14ac:dyDescent="0.25">
      <c r="A790" t="s">
        <v>1214</v>
      </c>
      <c r="B790" t="s">
        <v>1215</v>
      </c>
      <c r="C790" t="s">
        <v>271</v>
      </c>
      <c r="D790" s="85">
        <v>-254431399.75</v>
      </c>
      <c r="E790" s="85">
        <v>1481480.6</v>
      </c>
      <c r="F790" s="85">
        <v>1481480.6</v>
      </c>
      <c r="G790" s="85">
        <v>-254431399.75</v>
      </c>
    </row>
    <row r="791" spans="1:7" x14ac:dyDescent="0.25">
      <c r="A791" t="s">
        <v>1216</v>
      </c>
      <c r="B791" t="s">
        <v>1217</v>
      </c>
      <c r="C791" t="s">
        <v>271</v>
      </c>
      <c r="D791" s="85">
        <v>-254431399.75</v>
      </c>
      <c r="E791" s="85">
        <v>1481480.6</v>
      </c>
      <c r="F791" s="85">
        <v>1481480.6</v>
      </c>
      <c r="G791" s="85">
        <v>-254431399.75</v>
      </c>
    </row>
    <row r="792" spans="1:7" x14ac:dyDescent="0.25">
      <c r="A792" t="s">
        <v>1218</v>
      </c>
      <c r="B792" t="s">
        <v>1217</v>
      </c>
      <c r="C792" t="s">
        <v>271</v>
      </c>
      <c r="D792" s="85">
        <v>-254431399.75</v>
      </c>
      <c r="E792" s="85">
        <v>1481480.6</v>
      </c>
      <c r="F792" s="85">
        <v>1481480.6</v>
      </c>
      <c r="G792" s="85">
        <v>-254431399.75</v>
      </c>
    </row>
    <row r="793" spans="1:7" x14ac:dyDescent="0.25">
      <c r="A793" t="s">
        <v>1219</v>
      </c>
      <c r="B793" t="s">
        <v>1217</v>
      </c>
      <c r="C793" t="s">
        <v>271</v>
      </c>
      <c r="D793" s="85">
        <v>-254431399.75</v>
      </c>
      <c r="E793" s="85">
        <v>1481480.6</v>
      </c>
      <c r="F793" s="85">
        <v>1481480.6</v>
      </c>
      <c r="G793" s="85">
        <v>-254431399.75</v>
      </c>
    </row>
    <row r="794" spans="1:7" x14ac:dyDescent="0.25">
      <c r="A794" t="s">
        <v>1220</v>
      </c>
      <c r="B794" t="s">
        <v>1217</v>
      </c>
      <c r="C794" t="s">
        <v>271</v>
      </c>
      <c r="D794" s="85">
        <v>-254431399.75</v>
      </c>
      <c r="E794" s="85">
        <v>0</v>
      </c>
      <c r="F794" s="85">
        <v>0</v>
      </c>
      <c r="G794" s="85">
        <v>-254431399.75</v>
      </c>
    </row>
    <row r="795" spans="1:7" x14ac:dyDescent="0.25">
      <c r="A795" t="s">
        <v>1221</v>
      </c>
      <c r="B795" t="s">
        <v>1217</v>
      </c>
      <c r="C795" t="s">
        <v>283</v>
      </c>
      <c r="D795" s="85">
        <v>-254431399.75</v>
      </c>
      <c r="E795" s="85">
        <v>0</v>
      </c>
      <c r="F795" s="85">
        <v>0</v>
      </c>
      <c r="G795" s="85">
        <v>-254431399.75</v>
      </c>
    </row>
    <row r="796" spans="1:7" x14ac:dyDescent="0.25">
      <c r="A796" t="s">
        <v>1222</v>
      </c>
      <c r="B796" t="s">
        <v>302</v>
      </c>
      <c r="C796" t="s">
        <v>271</v>
      </c>
      <c r="D796" s="85">
        <v>0</v>
      </c>
      <c r="E796" s="85">
        <v>1481480.6</v>
      </c>
      <c r="F796" s="85">
        <v>1481480.6</v>
      </c>
      <c r="G796" s="85">
        <v>0</v>
      </c>
    </row>
    <row r="797" spans="1:7" x14ac:dyDescent="0.25">
      <c r="A797" t="s">
        <v>1223</v>
      </c>
      <c r="B797" t="s">
        <v>1224</v>
      </c>
      <c r="C797" t="s">
        <v>283</v>
      </c>
      <c r="D797" s="85">
        <v>0</v>
      </c>
      <c r="E797" s="85">
        <v>1481480.6</v>
      </c>
      <c r="F797" s="85">
        <v>1481480.6</v>
      </c>
      <c r="G797" s="85">
        <v>0</v>
      </c>
    </row>
    <row r="798" spans="1:7" x14ac:dyDescent="0.25">
      <c r="A798" t="s">
        <v>1225</v>
      </c>
      <c r="B798" t="s">
        <v>1226</v>
      </c>
      <c r="C798" t="s">
        <v>271</v>
      </c>
      <c r="D798" s="85">
        <v>-67253851.689999998</v>
      </c>
      <c r="E798" s="85">
        <v>0</v>
      </c>
      <c r="F798" s="85">
        <v>8944044.4800000004</v>
      </c>
      <c r="G798" s="85">
        <v>-76197896.170000002</v>
      </c>
    </row>
    <row r="799" spans="1:7" x14ac:dyDescent="0.25">
      <c r="A799" t="s">
        <v>1227</v>
      </c>
      <c r="B799" t="s">
        <v>1228</v>
      </c>
      <c r="C799" t="s">
        <v>271</v>
      </c>
      <c r="D799" s="85">
        <v>-13226874.439999999</v>
      </c>
      <c r="E799" s="85">
        <v>0</v>
      </c>
      <c r="F799" s="85">
        <v>851813.76</v>
      </c>
      <c r="G799" s="85">
        <v>-14078688.199999999</v>
      </c>
    </row>
    <row r="800" spans="1:7" x14ac:dyDescent="0.25">
      <c r="A800" t="s">
        <v>1229</v>
      </c>
      <c r="B800" t="s">
        <v>1228</v>
      </c>
      <c r="C800" t="s">
        <v>271</v>
      </c>
      <c r="D800" s="85">
        <v>-13226874.439999999</v>
      </c>
      <c r="E800" s="85">
        <v>0</v>
      </c>
      <c r="F800" s="85">
        <v>851813.76</v>
      </c>
      <c r="G800" s="85">
        <v>-14078688.199999999</v>
      </c>
    </row>
    <row r="801" spans="1:7" x14ac:dyDescent="0.25">
      <c r="A801" t="s">
        <v>1230</v>
      </c>
      <c r="B801" t="s">
        <v>1228</v>
      </c>
      <c r="C801" t="s">
        <v>271</v>
      </c>
      <c r="D801" s="85">
        <v>-13226874.439999999</v>
      </c>
      <c r="E801" s="85">
        <v>0</v>
      </c>
      <c r="F801" s="85">
        <v>851813.76</v>
      </c>
      <c r="G801" s="85">
        <v>-14078688.199999999</v>
      </c>
    </row>
    <row r="802" spans="1:7" x14ac:dyDescent="0.25">
      <c r="A802" t="s">
        <v>1231</v>
      </c>
      <c r="B802" t="s">
        <v>1228</v>
      </c>
      <c r="C802" t="s">
        <v>271</v>
      </c>
      <c r="D802" s="85">
        <v>-13226874.439999999</v>
      </c>
      <c r="E802" s="85">
        <v>0</v>
      </c>
      <c r="F802" s="85">
        <v>851813.76</v>
      </c>
      <c r="G802" s="85">
        <v>-14078688.199999999</v>
      </c>
    </row>
    <row r="803" spans="1:7" x14ac:dyDescent="0.25">
      <c r="A803" t="s">
        <v>1232</v>
      </c>
      <c r="B803" t="s">
        <v>1228</v>
      </c>
      <c r="C803" t="s">
        <v>283</v>
      </c>
      <c r="D803" s="85">
        <v>-13226874.439999999</v>
      </c>
      <c r="E803" s="85">
        <v>0</v>
      </c>
      <c r="F803" s="85">
        <v>851813.76</v>
      </c>
      <c r="G803" s="85">
        <v>-14078688.199999999</v>
      </c>
    </row>
    <row r="804" spans="1:7" x14ac:dyDescent="0.25">
      <c r="A804" t="s">
        <v>1233</v>
      </c>
      <c r="B804" t="s">
        <v>1234</v>
      </c>
      <c r="C804" t="s">
        <v>271</v>
      </c>
      <c r="D804" s="85">
        <v>-3668181.42</v>
      </c>
      <c r="E804" s="85">
        <v>0</v>
      </c>
      <c r="F804" s="85">
        <v>0</v>
      </c>
      <c r="G804" s="85">
        <v>-3668181.42</v>
      </c>
    </row>
    <row r="805" spans="1:7" x14ac:dyDescent="0.25">
      <c r="A805" t="s">
        <v>1235</v>
      </c>
      <c r="B805" t="s">
        <v>1234</v>
      </c>
      <c r="C805" t="s">
        <v>271</v>
      </c>
      <c r="D805" s="85">
        <v>-3668181.42</v>
      </c>
      <c r="E805" s="85">
        <v>0</v>
      </c>
      <c r="F805" s="85">
        <v>0</v>
      </c>
      <c r="G805" s="85">
        <v>-3668181.42</v>
      </c>
    </row>
    <row r="806" spans="1:7" x14ac:dyDescent="0.25">
      <c r="A806" t="s">
        <v>1236</v>
      </c>
      <c r="B806" t="s">
        <v>1234</v>
      </c>
      <c r="C806" t="s">
        <v>271</v>
      </c>
      <c r="D806" s="85">
        <v>-3668181.42</v>
      </c>
      <c r="E806" s="85">
        <v>0</v>
      </c>
      <c r="F806" s="85">
        <v>0</v>
      </c>
      <c r="G806" s="85">
        <v>-3668181.42</v>
      </c>
    </row>
    <row r="807" spans="1:7" x14ac:dyDescent="0.25">
      <c r="A807" t="s">
        <v>1237</v>
      </c>
      <c r="B807" t="s">
        <v>1234</v>
      </c>
      <c r="C807" t="s">
        <v>271</v>
      </c>
      <c r="D807" s="85">
        <v>-3668181.42</v>
      </c>
      <c r="E807" s="85">
        <v>0</v>
      </c>
      <c r="F807" s="85">
        <v>0</v>
      </c>
      <c r="G807" s="85">
        <v>-3668181.42</v>
      </c>
    </row>
    <row r="808" spans="1:7" x14ac:dyDescent="0.25">
      <c r="A808" t="s">
        <v>1238</v>
      </c>
      <c r="B808" t="s">
        <v>1239</v>
      </c>
      <c r="C808" t="s">
        <v>283</v>
      </c>
      <c r="D808" s="85">
        <v>-3668181.42</v>
      </c>
      <c r="E808" s="85">
        <v>0</v>
      </c>
      <c r="F808" s="85">
        <v>0</v>
      </c>
      <c r="G808" s="85">
        <v>-3668181.42</v>
      </c>
    </row>
    <row r="809" spans="1:7" x14ac:dyDescent="0.25">
      <c r="A809" t="s">
        <v>1240</v>
      </c>
      <c r="B809" t="s">
        <v>331</v>
      </c>
      <c r="C809" t="s">
        <v>271</v>
      </c>
      <c r="D809" s="85">
        <v>-50358795.829999998</v>
      </c>
      <c r="E809" s="85">
        <v>0</v>
      </c>
      <c r="F809" s="85">
        <v>8092230.7199999997</v>
      </c>
      <c r="G809" s="85">
        <v>-58451026.549999997</v>
      </c>
    </row>
    <row r="810" spans="1:7" x14ac:dyDescent="0.25">
      <c r="A810" t="s">
        <v>1241</v>
      </c>
      <c r="B810" t="s">
        <v>1242</v>
      </c>
      <c r="C810" t="s">
        <v>271</v>
      </c>
      <c r="D810" s="85">
        <v>-50358795.829999998</v>
      </c>
      <c r="E810" s="85">
        <v>0</v>
      </c>
      <c r="F810" s="85">
        <v>8092230.7199999997</v>
      </c>
      <c r="G810" s="85">
        <v>-58451026.549999997</v>
      </c>
    </row>
    <row r="811" spans="1:7" x14ac:dyDescent="0.25">
      <c r="A811" t="s">
        <v>1243</v>
      </c>
      <c r="B811" t="s">
        <v>1242</v>
      </c>
      <c r="C811" t="s">
        <v>271</v>
      </c>
      <c r="D811" s="85">
        <v>-50358795.829999998</v>
      </c>
      <c r="E811" s="85">
        <v>0</v>
      </c>
      <c r="F811" s="85">
        <v>8092230.7199999997</v>
      </c>
      <c r="G811" s="85">
        <v>-58451026.549999997</v>
      </c>
    </row>
    <row r="812" spans="1:7" x14ac:dyDescent="0.25">
      <c r="A812" t="s">
        <v>1244</v>
      </c>
      <c r="B812" t="s">
        <v>1242</v>
      </c>
      <c r="C812" t="s">
        <v>271</v>
      </c>
      <c r="D812" s="85">
        <v>-119074055.63</v>
      </c>
      <c r="E812" s="85">
        <v>0</v>
      </c>
      <c r="F812" s="85">
        <v>8092230.7199999997</v>
      </c>
      <c r="G812" s="85">
        <v>-127166286.34999999</v>
      </c>
    </row>
    <row r="813" spans="1:7" x14ac:dyDescent="0.25">
      <c r="A813" t="s">
        <v>1245</v>
      </c>
      <c r="B813" t="s">
        <v>1246</v>
      </c>
      <c r="C813" t="s">
        <v>283</v>
      </c>
      <c r="D813" s="85">
        <v>-14560428.619999999</v>
      </c>
      <c r="E813" s="85">
        <v>0</v>
      </c>
      <c r="F813" s="85">
        <v>0</v>
      </c>
      <c r="G813" s="85">
        <v>-14560428.619999999</v>
      </c>
    </row>
    <row r="814" spans="1:7" x14ac:dyDescent="0.25">
      <c r="A814" t="s">
        <v>1247</v>
      </c>
      <c r="B814" t="s">
        <v>1248</v>
      </c>
      <c r="C814" t="s">
        <v>283</v>
      </c>
      <c r="D814" s="85">
        <v>-26213500</v>
      </c>
      <c r="E814" s="85">
        <v>0</v>
      </c>
      <c r="F814" s="85">
        <v>0</v>
      </c>
      <c r="G814" s="85">
        <v>-26213500</v>
      </c>
    </row>
    <row r="815" spans="1:7" x14ac:dyDescent="0.25">
      <c r="A815" t="s">
        <v>1249</v>
      </c>
      <c r="B815" t="s">
        <v>1250</v>
      </c>
      <c r="C815" t="s">
        <v>283</v>
      </c>
      <c r="D815" s="85">
        <v>-6564267.0999999996</v>
      </c>
      <c r="E815" s="85">
        <v>0</v>
      </c>
      <c r="F815" s="85">
        <v>0</v>
      </c>
      <c r="G815" s="85">
        <v>-6564267.0999999996</v>
      </c>
    </row>
    <row r="816" spans="1:7" x14ac:dyDescent="0.25">
      <c r="A816" t="s">
        <v>1251</v>
      </c>
      <c r="B816" t="s">
        <v>1252</v>
      </c>
      <c r="C816" t="s">
        <v>283</v>
      </c>
      <c r="D816" s="85">
        <v>-8953826.1600000001</v>
      </c>
      <c r="E816" s="85">
        <v>0</v>
      </c>
      <c r="F816" s="85">
        <v>0</v>
      </c>
      <c r="G816" s="85">
        <v>-8953826.1600000001</v>
      </c>
    </row>
    <row r="817" spans="1:7" x14ac:dyDescent="0.25">
      <c r="A817" t="s">
        <v>1253</v>
      </c>
      <c r="B817" t="s">
        <v>1254</v>
      </c>
      <c r="C817" t="s">
        <v>283</v>
      </c>
      <c r="D817" s="85">
        <v>-10465103.539999999</v>
      </c>
      <c r="E817" s="85">
        <v>0</v>
      </c>
      <c r="F817" s="85">
        <v>0</v>
      </c>
      <c r="G817" s="85">
        <v>-10465103.539999999</v>
      </c>
    </row>
    <row r="818" spans="1:7" x14ac:dyDescent="0.25">
      <c r="A818" t="s">
        <v>1255</v>
      </c>
      <c r="B818" t="s">
        <v>1256</v>
      </c>
      <c r="C818" t="s">
        <v>283</v>
      </c>
      <c r="D818" s="85">
        <v>-7073876.9299999997</v>
      </c>
      <c r="E818" s="85">
        <v>0</v>
      </c>
      <c r="F818" s="85">
        <v>0</v>
      </c>
      <c r="G818" s="85">
        <v>-7073876.9299999997</v>
      </c>
    </row>
    <row r="819" spans="1:7" x14ac:dyDescent="0.25">
      <c r="A819" t="s">
        <v>2241</v>
      </c>
      <c r="B819" t="s">
        <v>2242</v>
      </c>
      <c r="C819" t="s">
        <v>283</v>
      </c>
      <c r="D819" s="85">
        <v>-17710026.75</v>
      </c>
      <c r="E819" s="85">
        <v>0</v>
      </c>
      <c r="F819" s="85">
        <v>0</v>
      </c>
      <c r="G819" s="85">
        <v>-17710026.75</v>
      </c>
    </row>
    <row r="820" spans="1:7" x14ac:dyDescent="0.25">
      <c r="A820" t="s">
        <v>1257</v>
      </c>
      <c r="B820" t="s">
        <v>236</v>
      </c>
      <c r="C820" t="s">
        <v>283</v>
      </c>
      <c r="D820" s="85">
        <v>-12012246.5</v>
      </c>
      <c r="E820" s="85">
        <v>0</v>
      </c>
      <c r="F820" s="85">
        <v>0</v>
      </c>
      <c r="G820" s="85">
        <v>-12012246.5</v>
      </c>
    </row>
    <row r="821" spans="1:7" x14ac:dyDescent="0.25">
      <c r="A821" t="s">
        <v>1258</v>
      </c>
      <c r="B821" t="s">
        <v>237</v>
      </c>
      <c r="C821" t="s">
        <v>283</v>
      </c>
      <c r="D821" s="85">
        <v>-4324408.55</v>
      </c>
      <c r="E821" s="85">
        <v>0</v>
      </c>
      <c r="F821" s="85">
        <v>0</v>
      </c>
      <c r="G821" s="85">
        <v>-4324408.55</v>
      </c>
    </row>
    <row r="822" spans="1:7" x14ac:dyDescent="0.25">
      <c r="A822" t="s">
        <v>1259</v>
      </c>
      <c r="B822" t="s">
        <v>1260</v>
      </c>
      <c r="C822" t="s">
        <v>283</v>
      </c>
      <c r="D822" s="85">
        <v>-46784.06</v>
      </c>
      <c r="E822" s="85">
        <v>0</v>
      </c>
      <c r="F822" s="85">
        <v>0</v>
      </c>
      <c r="G822" s="85">
        <v>-46784.06</v>
      </c>
    </row>
    <row r="823" spans="1:7" x14ac:dyDescent="0.25">
      <c r="A823" t="s">
        <v>1261</v>
      </c>
      <c r="B823" t="s">
        <v>1262</v>
      </c>
      <c r="C823" t="s">
        <v>283</v>
      </c>
      <c r="D823" s="85">
        <v>-10641829.84</v>
      </c>
      <c r="E823" s="85">
        <v>0</v>
      </c>
      <c r="F823" s="85">
        <v>0</v>
      </c>
      <c r="G823" s="85">
        <v>-10641829.84</v>
      </c>
    </row>
    <row r="824" spans="1:7" x14ac:dyDescent="0.25">
      <c r="A824" t="s">
        <v>1263</v>
      </c>
      <c r="B824" t="s">
        <v>1264</v>
      </c>
      <c r="C824" t="s">
        <v>283</v>
      </c>
      <c r="D824" s="85">
        <v>34145997.140000001</v>
      </c>
      <c r="E824" s="85">
        <v>0</v>
      </c>
      <c r="F824" s="85">
        <v>0</v>
      </c>
      <c r="G824" s="85">
        <v>34145997.140000001</v>
      </c>
    </row>
    <row r="825" spans="1:7" x14ac:dyDescent="0.25">
      <c r="A825" t="s">
        <v>2243</v>
      </c>
      <c r="B825" t="s">
        <v>2244</v>
      </c>
      <c r="C825" t="s">
        <v>283</v>
      </c>
      <c r="D825" s="85">
        <v>-15491116.42</v>
      </c>
      <c r="E825" s="85">
        <v>0</v>
      </c>
      <c r="F825" s="85">
        <v>0</v>
      </c>
      <c r="G825" s="85">
        <v>-15491116.42</v>
      </c>
    </row>
    <row r="826" spans="1:7" x14ac:dyDescent="0.25">
      <c r="A826" t="s">
        <v>2476</v>
      </c>
      <c r="B826" t="s">
        <v>2477</v>
      </c>
      <c r="C826" t="s">
        <v>283</v>
      </c>
      <c r="D826" s="85">
        <v>-19162638.300000001</v>
      </c>
      <c r="E826" s="85">
        <v>0</v>
      </c>
      <c r="F826" s="85">
        <v>0</v>
      </c>
      <c r="G826" s="85">
        <v>-19162638.300000001</v>
      </c>
    </row>
    <row r="827" spans="1:7" x14ac:dyDescent="0.25">
      <c r="A827" t="s">
        <v>2915</v>
      </c>
      <c r="B827" t="s">
        <v>2916</v>
      </c>
      <c r="C827" t="s">
        <v>283</v>
      </c>
      <c r="D827" s="85">
        <v>0</v>
      </c>
      <c r="E827" s="85">
        <v>0</v>
      </c>
      <c r="F827" s="85">
        <v>8092230.7199999997</v>
      </c>
      <c r="G827" s="85">
        <v>-8092230.7199999997</v>
      </c>
    </row>
    <row r="828" spans="1:7" x14ac:dyDescent="0.25">
      <c r="A828" t="s">
        <v>1265</v>
      </c>
      <c r="B828" t="s">
        <v>1266</v>
      </c>
      <c r="C828" t="s">
        <v>271</v>
      </c>
      <c r="D828" s="85">
        <v>68715259.799999997</v>
      </c>
      <c r="E828" s="85">
        <v>0</v>
      </c>
      <c r="F828" s="85">
        <v>0</v>
      </c>
      <c r="G828" s="85">
        <v>68715259.799999997</v>
      </c>
    </row>
    <row r="829" spans="1:7" x14ac:dyDescent="0.25">
      <c r="A829" t="s">
        <v>1267</v>
      </c>
      <c r="B829" t="s">
        <v>1268</v>
      </c>
      <c r="C829" t="s">
        <v>283</v>
      </c>
      <c r="D829" s="85">
        <v>26213500</v>
      </c>
      <c r="E829" s="85">
        <v>0</v>
      </c>
      <c r="F829" s="85">
        <v>0</v>
      </c>
      <c r="G829" s="85">
        <v>26213500</v>
      </c>
    </row>
    <row r="830" spans="1:7" x14ac:dyDescent="0.25">
      <c r="A830" t="s">
        <v>1269</v>
      </c>
      <c r="B830" t="s">
        <v>1270</v>
      </c>
      <c r="C830" t="s">
        <v>283</v>
      </c>
      <c r="D830" s="85">
        <v>42501759.799999997</v>
      </c>
      <c r="E830" s="85">
        <v>0</v>
      </c>
      <c r="F830" s="85">
        <v>0</v>
      </c>
      <c r="G830" s="85">
        <v>42501759.799999997</v>
      </c>
    </row>
    <row r="831" spans="1:7" x14ac:dyDescent="0.25">
      <c r="A831" t="s">
        <v>1271</v>
      </c>
      <c r="B831" t="s">
        <v>1272</v>
      </c>
      <c r="C831" t="s">
        <v>271</v>
      </c>
      <c r="D831" s="85">
        <v>42579.69</v>
      </c>
      <c r="E831" s="85">
        <v>46.63</v>
      </c>
      <c r="F831" s="85">
        <v>0</v>
      </c>
      <c r="G831" s="85">
        <v>42626.32</v>
      </c>
    </row>
    <row r="832" spans="1:7" x14ac:dyDescent="0.25">
      <c r="A832" t="s">
        <v>1273</v>
      </c>
      <c r="B832" t="s">
        <v>1274</v>
      </c>
      <c r="C832" t="s">
        <v>271</v>
      </c>
      <c r="D832" s="85">
        <v>42579.69</v>
      </c>
      <c r="E832" s="85">
        <v>46.63</v>
      </c>
      <c r="F832" s="85">
        <v>0</v>
      </c>
      <c r="G832" s="85">
        <v>42626.32</v>
      </c>
    </row>
    <row r="833" spans="1:7" x14ac:dyDescent="0.25">
      <c r="A833" t="s">
        <v>1275</v>
      </c>
      <c r="B833" t="s">
        <v>1276</v>
      </c>
      <c r="C833" t="s">
        <v>271</v>
      </c>
      <c r="D833" s="85">
        <v>42579.69</v>
      </c>
      <c r="E833" s="85">
        <v>46.63</v>
      </c>
      <c r="F833" s="85">
        <v>0</v>
      </c>
      <c r="G833" s="85">
        <v>42626.32</v>
      </c>
    </row>
    <row r="834" spans="1:7" x14ac:dyDescent="0.25">
      <c r="A834" t="s">
        <v>1277</v>
      </c>
      <c r="B834" t="s">
        <v>1276</v>
      </c>
      <c r="C834" t="s">
        <v>271</v>
      </c>
      <c r="D834" s="85">
        <v>42579.69</v>
      </c>
      <c r="E834" s="85">
        <v>46.63</v>
      </c>
      <c r="F834" s="85">
        <v>0</v>
      </c>
      <c r="G834" s="85">
        <v>42626.32</v>
      </c>
    </row>
    <row r="835" spans="1:7" x14ac:dyDescent="0.25">
      <c r="A835" t="s">
        <v>1278</v>
      </c>
      <c r="B835" t="s">
        <v>302</v>
      </c>
      <c r="C835" t="s">
        <v>271</v>
      </c>
      <c r="D835" s="85">
        <v>42579.69</v>
      </c>
      <c r="E835" s="85">
        <v>46.63</v>
      </c>
      <c r="F835" s="85">
        <v>0</v>
      </c>
      <c r="G835" s="85">
        <v>42626.32</v>
      </c>
    </row>
    <row r="836" spans="1:7" x14ac:dyDescent="0.25">
      <c r="A836" t="s">
        <v>1279</v>
      </c>
      <c r="B836" t="s">
        <v>1280</v>
      </c>
      <c r="C836" t="s">
        <v>283</v>
      </c>
      <c r="D836" s="85">
        <v>42579.69</v>
      </c>
      <c r="E836" s="85">
        <v>46.63</v>
      </c>
      <c r="F836" s="85">
        <v>0</v>
      </c>
      <c r="G836" s="85">
        <v>42626.32</v>
      </c>
    </row>
    <row r="837" spans="1:7" x14ac:dyDescent="0.25">
      <c r="A837" t="s">
        <v>1281</v>
      </c>
      <c r="B837" t="s">
        <v>1282</v>
      </c>
      <c r="C837" t="s">
        <v>271</v>
      </c>
      <c r="D837" s="85">
        <v>44678548.869999997</v>
      </c>
      <c r="E837" s="85">
        <v>22480045.02</v>
      </c>
      <c r="F837" s="85">
        <v>11536000.539999999</v>
      </c>
      <c r="G837" s="85">
        <v>55622593.350000001</v>
      </c>
    </row>
    <row r="838" spans="1:7" x14ac:dyDescent="0.25">
      <c r="A838" t="s">
        <v>1283</v>
      </c>
      <c r="B838" t="s">
        <v>1284</v>
      </c>
      <c r="C838" t="s">
        <v>271</v>
      </c>
      <c r="D838" s="85">
        <v>27410345.260000002</v>
      </c>
      <c r="E838" s="85">
        <v>22480045.02</v>
      </c>
      <c r="F838" s="85">
        <v>11536000.539999999</v>
      </c>
      <c r="G838" s="85">
        <v>38354389.740000002</v>
      </c>
    </row>
    <row r="839" spans="1:7" x14ac:dyDescent="0.25">
      <c r="A839" t="s">
        <v>1285</v>
      </c>
      <c r="B839" t="s">
        <v>1284</v>
      </c>
      <c r="C839" t="s">
        <v>271</v>
      </c>
      <c r="D839" s="85">
        <v>27410345.260000002</v>
      </c>
      <c r="E839" s="85">
        <v>22480045.02</v>
      </c>
      <c r="F839" s="85">
        <v>11536000.539999999</v>
      </c>
      <c r="G839" s="85">
        <v>38354389.740000002</v>
      </c>
    </row>
    <row r="840" spans="1:7" x14ac:dyDescent="0.25">
      <c r="A840" t="s">
        <v>1286</v>
      </c>
      <c r="B840" t="s">
        <v>1284</v>
      </c>
      <c r="C840" t="s">
        <v>271</v>
      </c>
      <c r="D840" s="85">
        <v>27410345.260000002</v>
      </c>
      <c r="E840" s="85">
        <v>22480045.02</v>
      </c>
      <c r="F840" s="85">
        <v>11536000.539999999</v>
      </c>
      <c r="G840" s="85">
        <v>38354389.740000002</v>
      </c>
    </row>
    <row r="841" spans="1:7" x14ac:dyDescent="0.25">
      <c r="A841" t="s">
        <v>1287</v>
      </c>
      <c r="B841" t="s">
        <v>1284</v>
      </c>
      <c r="C841" t="s">
        <v>271</v>
      </c>
      <c r="D841" s="85">
        <v>27410345.260000002</v>
      </c>
      <c r="E841" s="85">
        <v>22480045.02</v>
      </c>
      <c r="F841" s="85">
        <v>11536000.539999999</v>
      </c>
      <c r="G841" s="85">
        <v>38354389.740000002</v>
      </c>
    </row>
    <row r="842" spans="1:7" x14ac:dyDescent="0.25">
      <c r="A842" t="s">
        <v>2478</v>
      </c>
      <c r="B842" t="s">
        <v>1284</v>
      </c>
      <c r="C842" t="s">
        <v>283</v>
      </c>
      <c r="D842" s="85">
        <v>100365618.36</v>
      </c>
      <c r="E842" s="85">
        <v>22480045.02</v>
      </c>
      <c r="F842" s="85">
        <v>11536000.539999999</v>
      </c>
      <c r="G842" s="85">
        <v>111309662.84</v>
      </c>
    </row>
    <row r="843" spans="1:7" x14ac:dyDescent="0.25">
      <c r="A843" t="s">
        <v>2245</v>
      </c>
      <c r="B843" t="s">
        <v>2246</v>
      </c>
      <c r="C843" t="s">
        <v>283</v>
      </c>
      <c r="D843" s="85">
        <v>-32612876.68</v>
      </c>
      <c r="E843" s="85">
        <v>0</v>
      </c>
      <c r="F843" s="85">
        <v>0</v>
      </c>
      <c r="G843" s="85">
        <v>-32612876.68</v>
      </c>
    </row>
    <row r="844" spans="1:7" x14ac:dyDescent="0.25">
      <c r="A844" t="s">
        <v>2917</v>
      </c>
      <c r="B844" t="s">
        <v>2918</v>
      </c>
      <c r="C844" t="s">
        <v>283</v>
      </c>
      <c r="D844" s="85">
        <v>-40342396.420000002</v>
      </c>
      <c r="E844" s="85">
        <v>0</v>
      </c>
      <c r="F844" s="85">
        <v>0</v>
      </c>
      <c r="G844" s="85">
        <v>-40342396.420000002</v>
      </c>
    </row>
    <row r="845" spans="1:7" x14ac:dyDescent="0.25">
      <c r="A845" t="s">
        <v>1288</v>
      </c>
      <c r="B845" t="s">
        <v>1289</v>
      </c>
      <c r="C845" t="s">
        <v>271</v>
      </c>
      <c r="D845" s="85">
        <v>17268203.609999999</v>
      </c>
      <c r="E845" s="85">
        <v>0</v>
      </c>
      <c r="F845" s="85">
        <v>0</v>
      </c>
      <c r="G845" s="85">
        <v>17268203.609999999</v>
      </c>
    </row>
    <row r="846" spans="1:7" x14ac:dyDescent="0.25">
      <c r="A846" t="s">
        <v>1290</v>
      </c>
      <c r="B846" t="s">
        <v>1289</v>
      </c>
      <c r="C846" t="s">
        <v>271</v>
      </c>
      <c r="D846" s="85">
        <v>17268203.609999999</v>
      </c>
      <c r="E846" s="85">
        <v>0</v>
      </c>
      <c r="F846" s="85">
        <v>0</v>
      </c>
      <c r="G846" s="85">
        <v>17268203.609999999</v>
      </c>
    </row>
    <row r="847" spans="1:7" x14ac:dyDescent="0.25">
      <c r="A847" t="s">
        <v>1291</v>
      </c>
      <c r="B847" t="s">
        <v>1289</v>
      </c>
      <c r="C847" t="s">
        <v>271</v>
      </c>
      <c r="D847" s="85">
        <v>17268203.609999999</v>
      </c>
      <c r="E847" s="85">
        <v>0</v>
      </c>
      <c r="F847" s="85">
        <v>0</v>
      </c>
      <c r="G847" s="85">
        <v>17268203.609999999</v>
      </c>
    </row>
    <row r="848" spans="1:7" x14ac:dyDescent="0.25">
      <c r="A848" t="s">
        <v>1292</v>
      </c>
      <c r="B848" t="s">
        <v>1289</v>
      </c>
      <c r="C848" t="s">
        <v>271</v>
      </c>
      <c r="D848" s="85">
        <v>17268203.609999999</v>
      </c>
      <c r="E848" s="85">
        <v>0</v>
      </c>
      <c r="F848" s="85">
        <v>0</v>
      </c>
      <c r="G848" s="85">
        <v>17268203.609999999</v>
      </c>
    </row>
    <row r="849" spans="1:7" x14ac:dyDescent="0.25">
      <c r="A849" t="s">
        <v>1293</v>
      </c>
      <c r="B849" t="s">
        <v>1294</v>
      </c>
      <c r="C849" t="s">
        <v>283</v>
      </c>
      <c r="D849" s="85">
        <v>17268203.609999999</v>
      </c>
      <c r="E849" s="85">
        <v>0</v>
      </c>
      <c r="F849" s="85">
        <v>0</v>
      </c>
      <c r="G849" s="85">
        <v>17268203.609999999</v>
      </c>
    </row>
    <row r="850" spans="1:7" x14ac:dyDescent="0.25">
      <c r="A850" t="s">
        <v>1295</v>
      </c>
      <c r="B850" t="s">
        <v>1296</v>
      </c>
      <c r="C850" t="s">
        <v>271</v>
      </c>
      <c r="D850" s="85">
        <v>0</v>
      </c>
      <c r="E850" s="85">
        <v>3669.5</v>
      </c>
      <c r="F850" s="85">
        <v>3669.5</v>
      </c>
      <c r="G850" s="85">
        <v>0</v>
      </c>
    </row>
    <row r="851" spans="1:7" x14ac:dyDescent="0.25">
      <c r="A851" t="s">
        <v>1297</v>
      </c>
      <c r="B851" t="s">
        <v>1298</v>
      </c>
      <c r="C851" t="s">
        <v>271</v>
      </c>
      <c r="D851" s="85">
        <v>0</v>
      </c>
      <c r="E851" s="85">
        <v>3669.5</v>
      </c>
      <c r="F851" s="85">
        <v>3669.5</v>
      </c>
      <c r="G851" s="85">
        <v>0</v>
      </c>
    </row>
    <row r="852" spans="1:7" x14ac:dyDescent="0.25">
      <c r="A852" t="s">
        <v>1299</v>
      </c>
      <c r="B852" t="s">
        <v>1300</v>
      </c>
      <c r="C852" t="s">
        <v>271</v>
      </c>
      <c r="D852" s="85">
        <v>0</v>
      </c>
      <c r="E852" s="85">
        <v>3669.5</v>
      </c>
      <c r="F852" s="85">
        <v>3669.5</v>
      </c>
      <c r="G852" s="85">
        <v>0</v>
      </c>
    </row>
    <row r="853" spans="1:7" x14ac:dyDescent="0.25">
      <c r="A853" t="s">
        <v>1301</v>
      </c>
      <c r="B853" t="s">
        <v>581</v>
      </c>
      <c r="C853" t="s">
        <v>271</v>
      </c>
      <c r="D853" s="85">
        <v>0</v>
      </c>
      <c r="E853" s="85">
        <v>0</v>
      </c>
      <c r="F853" s="85">
        <v>0</v>
      </c>
      <c r="G853" s="85">
        <v>0</v>
      </c>
    </row>
    <row r="854" spans="1:7" x14ac:dyDescent="0.25">
      <c r="A854" t="s">
        <v>1302</v>
      </c>
      <c r="B854" t="s">
        <v>583</v>
      </c>
      <c r="C854" t="s">
        <v>271</v>
      </c>
      <c r="D854" s="85">
        <v>726082.96</v>
      </c>
      <c r="E854" s="85">
        <v>0</v>
      </c>
      <c r="F854" s="85">
        <v>0</v>
      </c>
      <c r="G854" s="85">
        <v>726082.96</v>
      </c>
    </row>
    <row r="855" spans="1:7" x14ac:dyDescent="0.25">
      <c r="A855" t="s">
        <v>1303</v>
      </c>
      <c r="B855" t="s">
        <v>595</v>
      </c>
      <c r="C855" t="s">
        <v>271</v>
      </c>
      <c r="D855" s="85">
        <v>517928.98</v>
      </c>
      <c r="E855" s="85">
        <v>0</v>
      </c>
      <c r="F855" s="85">
        <v>0</v>
      </c>
      <c r="G855" s="85">
        <v>517928.98</v>
      </c>
    </row>
    <row r="856" spans="1:7" x14ac:dyDescent="0.25">
      <c r="A856" t="s">
        <v>1304</v>
      </c>
      <c r="B856" t="s">
        <v>591</v>
      </c>
      <c r="C856" t="s">
        <v>271</v>
      </c>
      <c r="D856" s="85">
        <v>517928.98</v>
      </c>
      <c r="E856" s="85">
        <v>0</v>
      </c>
      <c r="F856" s="85">
        <v>0</v>
      </c>
      <c r="G856" s="85">
        <v>517928.98</v>
      </c>
    </row>
    <row r="857" spans="1:7" x14ac:dyDescent="0.25">
      <c r="A857" t="s">
        <v>1305</v>
      </c>
      <c r="B857" t="s">
        <v>595</v>
      </c>
      <c r="C857" t="s">
        <v>283</v>
      </c>
      <c r="D857" s="85">
        <v>517928.98</v>
      </c>
      <c r="E857" s="85">
        <v>0</v>
      </c>
      <c r="F857" s="85">
        <v>0</v>
      </c>
      <c r="G857" s="85">
        <v>517928.98</v>
      </c>
    </row>
    <row r="858" spans="1:7" x14ac:dyDescent="0.25">
      <c r="A858" t="s">
        <v>1306</v>
      </c>
      <c r="B858" t="s">
        <v>568</v>
      </c>
      <c r="C858" t="s">
        <v>271</v>
      </c>
      <c r="D858" s="85">
        <v>7573.02</v>
      </c>
      <c r="E858" s="85">
        <v>0</v>
      </c>
      <c r="F858" s="85">
        <v>0</v>
      </c>
      <c r="G858" s="85">
        <v>7573.02</v>
      </c>
    </row>
    <row r="859" spans="1:7" x14ac:dyDescent="0.25">
      <c r="A859" t="s">
        <v>1307</v>
      </c>
      <c r="B859" t="s">
        <v>706</v>
      </c>
      <c r="C859" t="s">
        <v>271</v>
      </c>
      <c r="D859" s="85">
        <v>7573.02</v>
      </c>
      <c r="E859" s="85">
        <v>0</v>
      </c>
      <c r="F859" s="85">
        <v>0</v>
      </c>
      <c r="G859" s="85">
        <v>7573.02</v>
      </c>
    </row>
    <row r="860" spans="1:7" x14ac:dyDescent="0.25">
      <c r="A860" t="s">
        <v>1308</v>
      </c>
      <c r="B860" t="s">
        <v>568</v>
      </c>
      <c r="C860" t="s">
        <v>283</v>
      </c>
      <c r="D860" s="85">
        <v>7573.02</v>
      </c>
      <c r="E860" s="85">
        <v>0</v>
      </c>
      <c r="F860" s="85">
        <v>0</v>
      </c>
      <c r="G860" s="85">
        <v>7573.02</v>
      </c>
    </row>
    <row r="861" spans="1:7" x14ac:dyDescent="0.25">
      <c r="A861" t="s">
        <v>1309</v>
      </c>
      <c r="B861" t="s">
        <v>616</v>
      </c>
      <c r="C861" t="s">
        <v>271</v>
      </c>
      <c r="D861" s="85">
        <v>187117.7</v>
      </c>
      <c r="E861" s="85">
        <v>0</v>
      </c>
      <c r="F861" s="85">
        <v>0</v>
      </c>
      <c r="G861" s="85">
        <v>187117.7</v>
      </c>
    </row>
    <row r="862" spans="1:7" x14ac:dyDescent="0.25">
      <c r="A862" t="s">
        <v>1310</v>
      </c>
      <c r="B862" t="s">
        <v>586</v>
      </c>
      <c r="C862" t="s">
        <v>271</v>
      </c>
      <c r="D862" s="85">
        <v>84210.93</v>
      </c>
      <c r="E862" s="85">
        <v>0</v>
      </c>
      <c r="F862" s="85">
        <v>0</v>
      </c>
      <c r="G862" s="85">
        <v>84210.93</v>
      </c>
    </row>
    <row r="863" spans="1:7" x14ac:dyDescent="0.25">
      <c r="A863" t="s">
        <v>1311</v>
      </c>
      <c r="B863" t="s">
        <v>616</v>
      </c>
      <c r="C863" t="s">
        <v>283</v>
      </c>
      <c r="D863" s="85">
        <v>84210.93</v>
      </c>
      <c r="E863" s="85">
        <v>0</v>
      </c>
      <c r="F863" s="85">
        <v>0</v>
      </c>
      <c r="G863" s="85">
        <v>84210.93</v>
      </c>
    </row>
    <row r="864" spans="1:7" x14ac:dyDescent="0.25">
      <c r="A864" t="s">
        <v>1312</v>
      </c>
      <c r="B864" t="s">
        <v>591</v>
      </c>
      <c r="C864" t="s">
        <v>271</v>
      </c>
      <c r="D864" s="85">
        <v>102906.77</v>
      </c>
      <c r="E864" s="85">
        <v>0</v>
      </c>
      <c r="F864" s="85">
        <v>0</v>
      </c>
      <c r="G864" s="85">
        <v>102906.77</v>
      </c>
    </row>
    <row r="865" spans="1:7" x14ac:dyDescent="0.25">
      <c r="A865" t="s">
        <v>1313</v>
      </c>
      <c r="B865" t="s">
        <v>616</v>
      </c>
      <c r="C865" t="s">
        <v>283</v>
      </c>
      <c r="D865" s="85">
        <v>102906.77</v>
      </c>
      <c r="E865" s="85">
        <v>0</v>
      </c>
      <c r="F865" s="85">
        <v>0</v>
      </c>
      <c r="G865" s="85">
        <v>102906.77</v>
      </c>
    </row>
    <row r="866" spans="1:7" x14ac:dyDescent="0.25">
      <c r="A866" t="s">
        <v>1314</v>
      </c>
      <c r="B866" t="s">
        <v>626</v>
      </c>
      <c r="C866" t="s">
        <v>271</v>
      </c>
      <c r="D866" s="85">
        <v>2076</v>
      </c>
      <c r="E866" s="85">
        <v>0</v>
      </c>
      <c r="F866" s="85">
        <v>0</v>
      </c>
      <c r="G866" s="85">
        <v>2076</v>
      </c>
    </row>
    <row r="867" spans="1:7" x14ac:dyDescent="0.25">
      <c r="A867" t="s">
        <v>1315</v>
      </c>
      <c r="B867" t="s">
        <v>586</v>
      </c>
      <c r="C867" t="s">
        <v>271</v>
      </c>
      <c r="D867" s="85">
        <v>2076</v>
      </c>
      <c r="E867" s="85">
        <v>0</v>
      </c>
      <c r="F867" s="85">
        <v>0</v>
      </c>
      <c r="G867" s="85">
        <v>2076</v>
      </c>
    </row>
    <row r="868" spans="1:7" x14ac:dyDescent="0.25">
      <c r="A868" t="s">
        <v>1316</v>
      </c>
      <c r="B868" t="s">
        <v>626</v>
      </c>
      <c r="C868" t="s">
        <v>283</v>
      </c>
      <c r="D868" s="85">
        <v>2076</v>
      </c>
      <c r="E868" s="85">
        <v>0</v>
      </c>
      <c r="F868" s="85">
        <v>0</v>
      </c>
      <c r="G868" s="85">
        <v>2076</v>
      </c>
    </row>
    <row r="869" spans="1:7" x14ac:dyDescent="0.25">
      <c r="A869" t="s">
        <v>1317</v>
      </c>
      <c r="B869" t="s">
        <v>632</v>
      </c>
      <c r="C869" t="s">
        <v>271</v>
      </c>
      <c r="D869" s="85">
        <v>11387.26</v>
      </c>
      <c r="E869" s="85">
        <v>0</v>
      </c>
      <c r="F869" s="85">
        <v>0</v>
      </c>
      <c r="G869" s="85">
        <v>11387.26</v>
      </c>
    </row>
    <row r="870" spans="1:7" x14ac:dyDescent="0.25">
      <c r="A870" t="s">
        <v>1318</v>
      </c>
      <c r="B870" t="s">
        <v>586</v>
      </c>
      <c r="C870" t="s">
        <v>271</v>
      </c>
      <c r="D870" s="85">
        <v>9774.8799999999992</v>
      </c>
      <c r="E870" s="85">
        <v>0</v>
      </c>
      <c r="F870" s="85">
        <v>0</v>
      </c>
      <c r="G870" s="85">
        <v>9774.8799999999992</v>
      </c>
    </row>
    <row r="871" spans="1:7" x14ac:dyDescent="0.25">
      <c r="A871" t="s">
        <v>1319</v>
      </c>
      <c r="B871" t="s">
        <v>632</v>
      </c>
      <c r="C871" t="s">
        <v>283</v>
      </c>
      <c r="D871" s="85">
        <v>9774.8799999999992</v>
      </c>
      <c r="E871" s="85">
        <v>0</v>
      </c>
      <c r="F871" s="85">
        <v>0</v>
      </c>
      <c r="G871" s="85">
        <v>9774.8799999999992</v>
      </c>
    </row>
    <row r="872" spans="1:7" x14ac:dyDescent="0.25">
      <c r="A872" t="s">
        <v>1320</v>
      </c>
      <c r="B872" t="s">
        <v>591</v>
      </c>
      <c r="C872" t="s">
        <v>271</v>
      </c>
      <c r="D872" s="85">
        <v>1612.38</v>
      </c>
      <c r="E872" s="85">
        <v>0</v>
      </c>
      <c r="F872" s="85">
        <v>0</v>
      </c>
      <c r="G872" s="85">
        <v>1612.38</v>
      </c>
    </row>
    <row r="873" spans="1:7" x14ac:dyDescent="0.25">
      <c r="A873" t="s">
        <v>1321</v>
      </c>
      <c r="B873" t="s">
        <v>632</v>
      </c>
      <c r="C873" t="s">
        <v>283</v>
      </c>
      <c r="D873" s="85">
        <v>1612.38</v>
      </c>
      <c r="E873" s="85">
        <v>0</v>
      </c>
      <c r="F873" s="85">
        <v>0</v>
      </c>
      <c r="G873" s="85">
        <v>1612.38</v>
      </c>
    </row>
    <row r="874" spans="1:7" x14ac:dyDescent="0.25">
      <c r="A874" t="s">
        <v>1322</v>
      </c>
      <c r="B874" t="s">
        <v>642</v>
      </c>
      <c r="C874" t="s">
        <v>271</v>
      </c>
      <c r="D874" s="85">
        <v>-726082.96</v>
      </c>
      <c r="E874" s="85">
        <v>0</v>
      </c>
      <c r="F874" s="85">
        <v>0</v>
      </c>
      <c r="G874" s="85">
        <v>-726082.96</v>
      </c>
    </row>
    <row r="875" spans="1:7" x14ac:dyDescent="0.25">
      <c r="A875" t="s">
        <v>1323</v>
      </c>
      <c r="B875" t="s">
        <v>595</v>
      </c>
      <c r="C875" t="s">
        <v>271</v>
      </c>
      <c r="D875" s="85">
        <v>-517928.98</v>
      </c>
      <c r="E875" s="85">
        <v>0</v>
      </c>
      <c r="F875" s="85">
        <v>0</v>
      </c>
      <c r="G875" s="85">
        <v>-517928.98</v>
      </c>
    </row>
    <row r="876" spans="1:7" x14ac:dyDescent="0.25">
      <c r="A876" t="s">
        <v>1324</v>
      </c>
      <c r="B876" t="s">
        <v>591</v>
      </c>
      <c r="C876" t="s">
        <v>271</v>
      </c>
      <c r="D876" s="85">
        <v>-517928.98</v>
      </c>
      <c r="E876" s="85">
        <v>0</v>
      </c>
      <c r="F876" s="85">
        <v>0</v>
      </c>
      <c r="G876" s="85">
        <v>-517928.98</v>
      </c>
    </row>
    <row r="877" spans="1:7" x14ac:dyDescent="0.25">
      <c r="A877" t="s">
        <v>1325</v>
      </c>
      <c r="B877" t="s">
        <v>595</v>
      </c>
      <c r="C877" t="s">
        <v>283</v>
      </c>
      <c r="D877" s="85">
        <v>-517928.98</v>
      </c>
      <c r="E877" s="85">
        <v>0</v>
      </c>
      <c r="F877" s="85">
        <v>0</v>
      </c>
      <c r="G877" s="85">
        <v>-517928.98</v>
      </c>
    </row>
    <row r="878" spans="1:7" x14ac:dyDescent="0.25">
      <c r="A878" t="s">
        <v>1326</v>
      </c>
      <c r="B878" t="s">
        <v>568</v>
      </c>
      <c r="C878" t="s">
        <v>271</v>
      </c>
      <c r="D878" s="85">
        <v>-7573.02</v>
      </c>
      <c r="E878" s="85">
        <v>0</v>
      </c>
      <c r="F878" s="85">
        <v>0</v>
      </c>
      <c r="G878" s="85">
        <v>-7573.02</v>
      </c>
    </row>
    <row r="879" spans="1:7" x14ac:dyDescent="0.25">
      <c r="A879" t="s">
        <v>1327</v>
      </c>
      <c r="B879" t="s">
        <v>591</v>
      </c>
      <c r="C879" t="s">
        <v>271</v>
      </c>
      <c r="D879" s="85">
        <v>-7573.02</v>
      </c>
      <c r="E879" s="85">
        <v>0</v>
      </c>
      <c r="F879" s="85">
        <v>0</v>
      </c>
      <c r="G879" s="85">
        <v>-7573.02</v>
      </c>
    </row>
    <row r="880" spans="1:7" x14ac:dyDescent="0.25">
      <c r="A880" t="s">
        <v>1328</v>
      </c>
      <c r="B880" t="s">
        <v>568</v>
      </c>
      <c r="C880" t="s">
        <v>283</v>
      </c>
      <c r="D880" s="85">
        <v>-7573.02</v>
      </c>
      <c r="E880" s="85">
        <v>0</v>
      </c>
      <c r="F880" s="85">
        <v>0</v>
      </c>
      <c r="G880" s="85">
        <v>-7573.02</v>
      </c>
    </row>
    <row r="881" spans="1:7" x14ac:dyDescent="0.25">
      <c r="A881" t="s">
        <v>1329</v>
      </c>
      <c r="B881" t="s">
        <v>616</v>
      </c>
      <c r="C881" t="s">
        <v>271</v>
      </c>
      <c r="D881" s="85">
        <v>-187117.7</v>
      </c>
      <c r="E881" s="85">
        <v>0</v>
      </c>
      <c r="F881" s="85">
        <v>0</v>
      </c>
      <c r="G881" s="85">
        <v>-187117.7</v>
      </c>
    </row>
    <row r="882" spans="1:7" x14ac:dyDescent="0.25">
      <c r="A882" t="s">
        <v>1330</v>
      </c>
      <c r="B882" t="s">
        <v>586</v>
      </c>
      <c r="C882" t="s">
        <v>271</v>
      </c>
      <c r="D882" s="85">
        <v>-84210.93</v>
      </c>
      <c r="E882" s="85">
        <v>0</v>
      </c>
      <c r="F882" s="85">
        <v>0</v>
      </c>
      <c r="G882" s="85">
        <v>-84210.93</v>
      </c>
    </row>
    <row r="883" spans="1:7" x14ac:dyDescent="0.25">
      <c r="A883" t="s">
        <v>1331</v>
      </c>
      <c r="B883" t="s">
        <v>616</v>
      </c>
      <c r="C883" t="s">
        <v>283</v>
      </c>
      <c r="D883" s="85">
        <v>-84210.93</v>
      </c>
      <c r="E883" s="85">
        <v>0</v>
      </c>
      <c r="F883" s="85">
        <v>0</v>
      </c>
      <c r="G883" s="85">
        <v>-84210.93</v>
      </c>
    </row>
    <row r="884" spans="1:7" x14ac:dyDescent="0.25">
      <c r="A884" t="s">
        <v>1332</v>
      </c>
      <c r="B884" t="s">
        <v>591</v>
      </c>
      <c r="C884" t="s">
        <v>271</v>
      </c>
      <c r="D884" s="85">
        <v>-102906.77</v>
      </c>
      <c r="E884" s="85">
        <v>0</v>
      </c>
      <c r="F884" s="85">
        <v>0</v>
      </c>
      <c r="G884" s="85">
        <v>-102906.77</v>
      </c>
    </row>
    <row r="885" spans="1:7" x14ac:dyDescent="0.25">
      <c r="A885" t="s">
        <v>1333</v>
      </c>
      <c r="B885" t="s">
        <v>616</v>
      </c>
      <c r="C885" t="s">
        <v>283</v>
      </c>
      <c r="D885" s="85">
        <v>-102906.77</v>
      </c>
      <c r="E885" s="85">
        <v>0</v>
      </c>
      <c r="F885" s="85">
        <v>0</v>
      </c>
      <c r="G885" s="85">
        <v>-102906.77</v>
      </c>
    </row>
    <row r="886" spans="1:7" x14ac:dyDescent="0.25">
      <c r="A886" t="s">
        <v>1334</v>
      </c>
      <c r="B886" t="s">
        <v>626</v>
      </c>
      <c r="C886" t="s">
        <v>271</v>
      </c>
      <c r="D886" s="85">
        <v>-2076</v>
      </c>
      <c r="E886" s="85">
        <v>0</v>
      </c>
      <c r="F886" s="85">
        <v>0</v>
      </c>
      <c r="G886" s="85">
        <v>-2076</v>
      </c>
    </row>
    <row r="887" spans="1:7" x14ac:dyDescent="0.25">
      <c r="A887" t="s">
        <v>1335</v>
      </c>
      <c r="B887" t="s">
        <v>586</v>
      </c>
      <c r="C887" t="s">
        <v>271</v>
      </c>
      <c r="D887" s="85">
        <v>-2076</v>
      </c>
      <c r="E887" s="85">
        <v>0</v>
      </c>
      <c r="F887" s="85">
        <v>0</v>
      </c>
      <c r="G887" s="85">
        <v>-2076</v>
      </c>
    </row>
    <row r="888" spans="1:7" x14ac:dyDescent="0.25">
      <c r="A888" t="s">
        <v>1336</v>
      </c>
      <c r="B888" t="s">
        <v>626</v>
      </c>
      <c r="C888" t="s">
        <v>283</v>
      </c>
      <c r="D888" s="85">
        <v>-2076</v>
      </c>
      <c r="E888" s="85">
        <v>0</v>
      </c>
      <c r="F888" s="85">
        <v>0</v>
      </c>
      <c r="G888" s="85">
        <v>-2076</v>
      </c>
    </row>
    <row r="889" spans="1:7" x14ac:dyDescent="0.25">
      <c r="A889" t="s">
        <v>1337</v>
      </c>
      <c r="B889" t="s">
        <v>632</v>
      </c>
      <c r="C889" t="s">
        <v>271</v>
      </c>
      <c r="D889" s="85">
        <v>-11387.26</v>
      </c>
      <c r="E889" s="85">
        <v>0</v>
      </c>
      <c r="F889" s="85">
        <v>0</v>
      </c>
      <c r="G889" s="85">
        <v>-11387.26</v>
      </c>
    </row>
    <row r="890" spans="1:7" x14ac:dyDescent="0.25">
      <c r="A890" t="s">
        <v>1338</v>
      </c>
      <c r="B890" t="s">
        <v>586</v>
      </c>
      <c r="C890" t="s">
        <v>271</v>
      </c>
      <c r="D890" s="85">
        <v>-9774.8799999999992</v>
      </c>
      <c r="E890" s="85">
        <v>0</v>
      </c>
      <c r="F890" s="85">
        <v>0</v>
      </c>
      <c r="G890" s="85">
        <v>-9774.8799999999992</v>
      </c>
    </row>
    <row r="891" spans="1:7" x14ac:dyDescent="0.25">
      <c r="A891" t="s">
        <v>1339</v>
      </c>
      <c r="B891" t="s">
        <v>632</v>
      </c>
      <c r="C891" t="s">
        <v>283</v>
      </c>
      <c r="D891" s="85">
        <v>-9774.8799999999992</v>
      </c>
      <c r="E891" s="85">
        <v>0</v>
      </c>
      <c r="F891" s="85">
        <v>0</v>
      </c>
      <c r="G891" s="85">
        <v>-9774.8799999999992</v>
      </c>
    </row>
    <row r="892" spans="1:7" x14ac:dyDescent="0.25">
      <c r="A892" t="s">
        <v>1340</v>
      </c>
      <c r="B892" t="s">
        <v>591</v>
      </c>
      <c r="C892" t="s">
        <v>271</v>
      </c>
      <c r="D892" s="85">
        <v>-1612.38</v>
      </c>
      <c r="E892" s="85">
        <v>0</v>
      </c>
      <c r="F892" s="85">
        <v>0</v>
      </c>
      <c r="G892" s="85">
        <v>-1612.38</v>
      </c>
    </row>
    <row r="893" spans="1:7" x14ac:dyDescent="0.25">
      <c r="A893" t="s">
        <v>1341</v>
      </c>
      <c r="B893" t="s">
        <v>632</v>
      </c>
      <c r="C893" t="s">
        <v>283</v>
      </c>
      <c r="D893" s="85">
        <v>-1612.38</v>
      </c>
      <c r="E893" s="85">
        <v>0</v>
      </c>
      <c r="F893" s="85">
        <v>0</v>
      </c>
      <c r="G893" s="85">
        <v>-1612.38</v>
      </c>
    </row>
    <row r="894" spans="1:7" x14ac:dyDescent="0.25">
      <c r="A894" t="s">
        <v>1342</v>
      </c>
      <c r="B894" t="s">
        <v>793</v>
      </c>
      <c r="C894" t="s">
        <v>271</v>
      </c>
      <c r="D894" s="85">
        <v>0</v>
      </c>
      <c r="E894" s="85">
        <v>3669.5</v>
      </c>
      <c r="F894" s="85">
        <v>3669.5</v>
      </c>
      <c r="G894" s="85">
        <v>0</v>
      </c>
    </row>
    <row r="895" spans="1:7" x14ac:dyDescent="0.25">
      <c r="A895" t="s">
        <v>1343</v>
      </c>
      <c r="B895" t="s">
        <v>795</v>
      </c>
      <c r="C895" t="s">
        <v>271</v>
      </c>
      <c r="D895" s="85">
        <v>457650.87</v>
      </c>
      <c r="E895" s="85">
        <v>3669.5</v>
      </c>
      <c r="F895" s="85">
        <v>0</v>
      </c>
      <c r="G895" s="85">
        <v>461320.37</v>
      </c>
    </row>
    <row r="896" spans="1:7" x14ac:dyDescent="0.25">
      <c r="A896" t="s">
        <v>1344</v>
      </c>
      <c r="B896" t="s">
        <v>616</v>
      </c>
      <c r="C896" t="s">
        <v>271</v>
      </c>
      <c r="D896" s="85">
        <v>341828.63</v>
      </c>
      <c r="E896" s="85">
        <v>1820</v>
      </c>
      <c r="F896" s="85">
        <v>0</v>
      </c>
      <c r="G896" s="85">
        <v>343648.63</v>
      </c>
    </row>
    <row r="897" spans="1:7" x14ac:dyDescent="0.25">
      <c r="A897" t="s">
        <v>1345</v>
      </c>
      <c r="B897" t="s">
        <v>335</v>
      </c>
      <c r="C897" t="s">
        <v>271</v>
      </c>
      <c r="D897" s="85">
        <v>341828.63</v>
      </c>
      <c r="E897" s="85">
        <v>1820</v>
      </c>
      <c r="F897" s="85">
        <v>0</v>
      </c>
      <c r="G897" s="85">
        <v>343648.63</v>
      </c>
    </row>
    <row r="898" spans="1:7" x14ac:dyDescent="0.25">
      <c r="A898" t="s">
        <v>1346</v>
      </c>
      <c r="B898" t="s">
        <v>616</v>
      </c>
      <c r="C898" t="s">
        <v>283</v>
      </c>
      <c r="D898" s="85">
        <v>341828.63</v>
      </c>
      <c r="E898" s="85">
        <v>1820</v>
      </c>
      <c r="F898" s="85">
        <v>0</v>
      </c>
      <c r="G898" s="85">
        <v>343648.63</v>
      </c>
    </row>
    <row r="899" spans="1:7" x14ac:dyDescent="0.25">
      <c r="A899" t="s">
        <v>1347</v>
      </c>
      <c r="B899" t="s">
        <v>626</v>
      </c>
      <c r="C899" t="s">
        <v>271</v>
      </c>
      <c r="D899" s="85">
        <v>109513.56</v>
      </c>
      <c r="E899" s="85">
        <v>0</v>
      </c>
      <c r="F899" s="85">
        <v>0</v>
      </c>
      <c r="G899" s="85">
        <v>109513.56</v>
      </c>
    </row>
    <row r="900" spans="1:7" x14ac:dyDescent="0.25">
      <c r="A900" t="s">
        <v>1348</v>
      </c>
      <c r="B900" t="s">
        <v>335</v>
      </c>
      <c r="C900" t="s">
        <v>271</v>
      </c>
      <c r="D900" s="85">
        <v>109513.56</v>
      </c>
      <c r="E900" s="85">
        <v>0</v>
      </c>
      <c r="F900" s="85">
        <v>0</v>
      </c>
      <c r="G900" s="85">
        <v>109513.56</v>
      </c>
    </row>
    <row r="901" spans="1:7" x14ac:dyDescent="0.25">
      <c r="A901" t="s">
        <v>1349</v>
      </c>
      <c r="B901" t="s">
        <v>626</v>
      </c>
      <c r="C901" t="s">
        <v>283</v>
      </c>
      <c r="D901" s="85">
        <v>109513.56</v>
      </c>
      <c r="E901" s="85">
        <v>0</v>
      </c>
      <c r="F901" s="85">
        <v>0</v>
      </c>
      <c r="G901" s="85">
        <v>109513.56</v>
      </c>
    </row>
    <row r="902" spans="1:7" x14ac:dyDescent="0.25">
      <c r="A902" t="s">
        <v>1350</v>
      </c>
      <c r="B902" t="s">
        <v>632</v>
      </c>
      <c r="C902" t="s">
        <v>271</v>
      </c>
      <c r="D902" s="85">
        <v>6308.68</v>
      </c>
      <c r="E902" s="85">
        <v>1849.5</v>
      </c>
      <c r="F902" s="85">
        <v>0</v>
      </c>
      <c r="G902" s="85">
        <v>8158.18</v>
      </c>
    </row>
    <row r="903" spans="1:7" x14ac:dyDescent="0.25">
      <c r="A903" t="s">
        <v>1351</v>
      </c>
      <c r="B903" t="s">
        <v>335</v>
      </c>
      <c r="C903" t="s">
        <v>271</v>
      </c>
      <c r="D903" s="85">
        <v>6308.68</v>
      </c>
      <c r="E903" s="85">
        <v>1849.5</v>
      </c>
      <c r="F903" s="85">
        <v>0</v>
      </c>
      <c r="G903" s="85">
        <v>8158.18</v>
      </c>
    </row>
    <row r="904" spans="1:7" x14ac:dyDescent="0.25">
      <c r="A904" t="s">
        <v>1352</v>
      </c>
      <c r="B904" t="s">
        <v>632</v>
      </c>
      <c r="C904" t="s">
        <v>283</v>
      </c>
      <c r="D904" s="85">
        <v>6308.68</v>
      </c>
      <c r="E904" s="85">
        <v>1849.5</v>
      </c>
      <c r="F904" s="85">
        <v>0</v>
      </c>
      <c r="G904" s="85">
        <v>8158.18</v>
      </c>
    </row>
    <row r="905" spans="1:7" x14ac:dyDescent="0.25">
      <c r="A905" t="s">
        <v>1353</v>
      </c>
      <c r="B905" t="s">
        <v>814</v>
      </c>
      <c r="C905" t="s">
        <v>271</v>
      </c>
      <c r="D905" s="85">
        <v>-457650.87</v>
      </c>
      <c r="E905" s="85">
        <v>0</v>
      </c>
      <c r="F905" s="85">
        <v>3669.5</v>
      </c>
      <c r="G905" s="85">
        <v>-461320.37</v>
      </c>
    </row>
    <row r="906" spans="1:7" x14ac:dyDescent="0.25">
      <c r="A906" t="s">
        <v>1354</v>
      </c>
      <c r="B906" t="s">
        <v>616</v>
      </c>
      <c r="C906" t="s">
        <v>271</v>
      </c>
      <c r="D906" s="85">
        <v>-341828.63</v>
      </c>
      <c r="E906" s="85">
        <v>0</v>
      </c>
      <c r="F906" s="85">
        <v>1820</v>
      </c>
      <c r="G906" s="85">
        <v>-343648.63</v>
      </c>
    </row>
    <row r="907" spans="1:7" x14ac:dyDescent="0.25">
      <c r="A907" t="s">
        <v>1355</v>
      </c>
      <c r="B907" t="s">
        <v>335</v>
      </c>
      <c r="C907" t="s">
        <v>271</v>
      </c>
      <c r="D907" s="85">
        <v>-341828.63</v>
      </c>
      <c r="E907" s="85">
        <v>0</v>
      </c>
      <c r="F907" s="85">
        <v>1820</v>
      </c>
      <c r="G907" s="85">
        <v>-343648.63</v>
      </c>
    </row>
    <row r="908" spans="1:7" x14ac:dyDescent="0.25">
      <c r="A908" t="s">
        <v>1356</v>
      </c>
      <c r="B908" t="s">
        <v>616</v>
      </c>
      <c r="C908" t="s">
        <v>283</v>
      </c>
      <c r="D908" s="85">
        <v>-341828.63</v>
      </c>
      <c r="E908" s="85">
        <v>0</v>
      </c>
      <c r="F908" s="85">
        <v>1820</v>
      </c>
      <c r="G908" s="85">
        <v>-343648.63</v>
      </c>
    </row>
    <row r="909" spans="1:7" x14ac:dyDescent="0.25">
      <c r="A909" t="s">
        <v>1357</v>
      </c>
      <c r="B909" t="s">
        <v>626</v>
      </c>
      <c r="C909" t="s">
        <v>271</v>
      </c>
      <c r="D909" s="85">
        <v>-109513.56</v>
      </c>
      <c r="E909" s="85">
        <v>0</v>
      </c>
      <c r="F909" s="85">
        <v>0</v>
      </c>
      <c r="G909" s="85">
        <v>-109513.56</v>
      </c>
    </row>
    <row r="910" spans="1:7" x14ac:dyDescent="0.25">
      <c r="A910" t="s">
        <v>1358</v>
      </c>
      <c r="B910" t="s">
        <v>335</v>
      </c>
      <c r="C910" t="s">
        <v>271</v>
      </c>
      <c r="D910" s="85">
        <v>-109513.56</v>
      </c>
      <c r="E910" s="85">
        <v>0</v>
      </c>
      <c r="F910" s="85">
        <v>0</v>
      </c>
      <c r="G910" s="85">
        <v>-109513.56</v>
      </c>
    </row>
    <row r="911" spans="1:7" x14ac:dyDescent="0.25">
      <c r="A911" t="s">
        <v>1359</v>
      </c>
      <c r="B911" t="s">
        <v>626</v>
      </c>
      <c r="C911" t="s">
        <v>283</v>
      </c>
      <c r="D911" s="85">
        <v>-109513.56</v>
      </c>
      <c r="E911" s="85">
        <v>0</v>
      </c>
      <c r="F911" s="85">
        <v>0</v>
      </c>
      <c r="G911" s="85">
        <v>-109513.56</v>
      </c>
    </row>
    <row r="912" spans="1:7" x14ac:dyDescent="0.25">
      <c r="A912" t="s">
        <v>1360</v>
      </c>
      <c r="B912" t="s">
        <v>632</v>
      </c>
      <c r="C912" t="s">
        <v>271</v>
      </c>
      <c r="D912" s="85">
        <v>-6308.68</v>
      </c>
      <c r="E912" s="85">
        <v>0</v>
      </c>
      <c r="F912" s="85">
        <v>1849.5</v>
      </c>
      <c r="G912" s="85">
        <v>-8158.18</v>
      </c>
    </row>
    <row r="913" spans="1:7" x14ac:dyDescent="0.25">
      <c r="A913" t="s">
        <v>1361</v>
      </c>
      <c r="B913" t="s">
        <v>335</v>
      </c>
      <c r="C913" t="s">
        <v>271</v>
      </c>
      <c r="D913" s="85">
        <v>-6308.68</v>
      </c>
      <c r="E913" s="85">
        <v>0</v>
      </c>
      <c r="F913" s="85">
        <v>1849.5</v>
      </c>
      <c r="G913" s="85">
        <v>-8158.18</v>
      </c>
    </row>
    <row r="914" spans="1:7" x14ac:dyDescent="0.25">
      <c r="A914" t="s">
        <v>1362</v>
      </c>
      <c r="B914" t="s">
        <v>632</v>
      </c>
      <c r="C914" t="s">
        <v>283</v>
      </c>
      <c r="D914" s="85">
        <v>-6308.68</v>
      </c>
      <c r="E914" s="85">
        <v>0</v>
      </c>
      <c r="F914" s="85">
        <v>1849.5</v>
      </c>
      <c r="G914" s="85">
        <v>-8158.18</v>
      </c>
    </row>
    <row r="915" spans="1:7" x14ac:dyDescent="0.25">
      <c r="A915" t="s">
        <v>1363</v>
      </c>
      <c r="B915" t="s">
        <v>1364</v>
      </c>
      <c r="C915" t="s">
        <v>271</v>
      </c>
      <c r="D915" s="85">
        <v>0</v>
      </c>
      <c r="E915" s="85">
        <v>0</v>
      </c>
      <c r="F915" s="85">
        <v>0</v>
      </c>
      <c r="G915" s="85">
        <v>0</v>
      </c>
    </row>
    <row r="916" spans="1:7" x14ac:dyDescent="0.25">
      <c r="A916" t="s">
        <v>1365</v>
      </c>
      <c r="B916" t="s">
        <v>581</v>
      </c>
      <c r="C916" t="s">
        <v>271</v>
      </c>
      <c r="D916" s="85">
        <v>0</v>
      </c>
      <c r="E916" s="85">
        <v>0</v>
      </c>
      <c r="F916" s="85">
        <v>0</v>
      </c>
      <c r="G916" s="85">
        <v>0</v>
      </c>
    </row>
    <row r="917" spans="1:7" x14ac:dyDescent="0.25">
      <c r="A917" t="s">
        <v>1366</v>
      </c>
      <c r="B917" t="s">
        <v>845</v>
      </c>
      <c r="C917" t="s">
        <v>271</v>
      </c>
      <c r="D917" s="85">
        <v>228705.84</v>
      </c>
      <c r="E917" s="85">
        <v>0</v>
      </c>
      <c r="F917" s="85">
        <v>0</v>
      </c>
      <c r="G917" s="85">
        <v>228705.84</v>
      </c>
    </row>
    <row r="918" spans="1:7" x14ac:dyDescent="0.25">
      <c r="A918" t="s">
        <v>1367</v>
      </c>
      <c r="B918" t="s">
        <v>852</v>
      </c>
      <c r="C918" t="s">
        <v>271</v>
      </c>
      <c r="D918" s="85">
        <v>228705.84</v>
      </c>
      <c r="E918" s="85">
        <v>0</v>
      </c>
      <c r="F918" s="85">
        <v>0</v>
      </c>
      <c r="G918" s="85">
        <v>228705.84</v>
      </c>
    </row>
    <row r="919" spans="1:7" x14ac:dyDescent="0.25">
      <c r="A919" t="s">
        <v>1368</v>
      </c>
      <c r="B919" t="s">
        <v>591</v>
      </c>
      <c r="C919" t="s">
        <v>271</v>
      </c>
      <c r="D919" s="85">
        <v>228705.84</v>
      </c>
      <c r="E919" s="85">
        <v>0</v>
      </c>
      <c r="F919" s="85">
        <v>0</v>
      </c>
      <c r="G919" s="85">
        <v>228705.84</v>
      </c>
    </row>
    <row r="920" spans="1:7" x14ac:dyDescent="0.25">
      <c r="A920" t="s">
        <v>1369</v>
      </c>
      <c r="B920" t="s">
        <v>855</v>
      </c>
      <c r="C920" t="s">
        <v>283</v>
      </c>
      <c r="D920" s="85">
        <v>228705.84</v>
      </c>
      <c r="E920" s="85">
        <v>0</v>
      </c>
      <c r="F920" s="85">
        <v>0</v>
      </c>
      <c r="G920" s="85">
        <v>228705.84</v>
      </c>
    </row>
    <row r="921" spans="1:7" x14ac:dyDescent="0.25">
      <c r="A921" t="s">
        <v>1370</v>
      </c>
      <c r="B921" t="s">
        <v>862</v>
      </c>
      <c r="C921" t="s">
        <v>271</v>
      </c>
      <c r="D921" s="85">
        <v>-228705.84</v>
      </c>
      <c r="E921" s="85">
        <v>0</v>
      </c>
      <c r="F921" s="85">
        <v>0</v>
      </c>
      <c r="G921" s="85">
        <v>-228705.84</v>
      </c>
    </row>
    <row r="922" spans="1:7" x14ac:dyDescent="0.25">
      <c r="A922" t="s">
        <v>1371</v>
      </c>
      <c r="B922" t="s">
        <v>852</v>
      </c>
      <c r="C922" t="s">
        <v>271</v>
      </c>
      <c r="D922" s="85">
        <v>-228705.84</v>
      </c>
      <c r="E922" s="85">
        <v>0</v>
      </c>
      <c r="F922" s="85">
        <v>0</v>
      </c>
      <c r="G922" s="85">
        <v>-228705.84</v>
      </c>
    </row>
    <row r="923" spans="1:7" x14ac:dyDescent="0.25">
      <c r="A923" t="s">
        <v>1372</v>
      </c>
      <c r="B923" t="s">
        <v>706</v>
      </c>
      <c r="C923" t="s">
        <v>271</v>
      </c>
      <c r="D923" s="85">
        <v>-228705.84</v>
      </c>
      <c r="E923" s="85">
        <v>0</v>
      </c>
      <c r="F923" s="85">
        <v>0</v>
      </c>
      <c r="G923" s="85">
        <v>-228705.84</v>
      </c>
    </row>
    <row r="924" spans="1:7" x14ac:dyDescent="0.25">
      <c r="A924" t="s">
        <v>1373</v>
      </c>
      <c r="B924" t="s">
        <v>852</v>
      </c>
      <c r="C924" t="s">
        <v>283</v>
      </c>
      <c r="D924" s="85">
        <v>-228705.84</v>
      </c>
      <c r="E924" s="85">
        <v>0</v>
      </c>
      <c r="F924" s="85">
        <v>0</v>
      </c>
      <c r="G924" s="85">
        <v>-228705.84</v>
      </c>
    </row>
    <row r="925" spans="1:7" x14ac:dyDescent="0.25">
      <c r="A925" t="s">
        <v>1374</v>
      </c>
      <c r="B925" t="s">
        <v>793</v>
      </c>
      <c r="C925" t="s">
        <v>271</v>
      </c>
      <c r="D925" s="85">
        <v>0</v>
      </c>
      <c r="E925" s="85">
        <v>0</v>
      </c>
      <c r="F925" s="85">
        <v>0</v>
      </c>
      <c r="G925" s="85">
        <v>0</v>
      </c>
    </row>
    <row r="926" spans="1:7" x14ac:dyDescent="0.25">
      <c r="A926" t="s">
        <v>1375</v>
      </c>
      <c r="B926" t="s">
        <v>887</v>
      </c>
      <c r="C926" t="s">
        <v>271</v>
      </c>
      <c r="D926" s="85">
        <v>220382.57</v>
      </c>
      <c r="E926" s="85">
        <v>0</v>
      </c>
      <c r="F926" s="85">
        <v>0</v>
      </c>
      <c r="G926" s="85">
        <v>220382.57</v>
      </c>
    </row>
    <row r="927" spans="1:7" x14ac:dyDescent="0.25">
      <c r="A927" t="s">
        <v>1376</v>
      </c>
      <c r="B927" t="s">
        <v>852</v>
      </c>
      <c r="C927" t="s">
        <v>271</v>
      </c>
      <c r="D927" s="85">
        <v>220382.57</v>
      </c>
      <c r="E927" s="85">
        <v>0</v>
      </c>
      <c r="F927" s="85">
        <v>0</v>
      </c>
      <c r="G927" s="85">
        <v>220382.57</v>
      </c>
    </row>
    <row r="928" spans="1:7" x14ac:dyDescent="0.25">
      <c r="A928" t="s">
        <v>1377</v>
      </c>
      <c r="B928" t="s">
        <v>335</v>
      </c>
      <c r="C928" t="s">
        <v>271</v>
      </c>
      <c r="D928" s="85">
        <v>220382.57</v>
      </c>
      <c r="E928" s="85">
        <v>0</v>
      </c>
      <c r="F928" s="85">
        <v>0</v>
      </c>
      <c r="G928" s="85">
        <v>220382.57</v>
      </c>
    </row>
    <row r="929" spans="1:7" x14ac:dyDescent="0.25">
      <c r="A929" t="s">
        <v>1378</v>
      </c>
      <c r="B929" t="s">
        <v>852</v>
      </c>
      <c r="C929" t="s">
        <v>283</v>
      </c>
      <c r="D929" s="85">
        <v>220382.57</v>
      </c>
      <c r="E929" s="85">
        <v>0</v>
      </c>
      <c r="F929" s="85">
        <v>0</v>
      </c>
      <c r="G929" s="85">
        <v>220382.57</v>
      </c>
    </row>
    <row r="930" spans="1:7" x14ac:dyDescent="0.25">
      <c r="A930" t="s">
        <v>1379</v>
      </c>
      <c r="B930" t="s">
        <v>892</v>
      </c>
      <c r="C930" t="s">
        <v>271</v>
      </c>
      <c r="D930" s="85">
        <v>-220382.57</v>
      </c>
      <c r="E930" s="85">
        <v>0</v>
      </c>
      <c r="F930" s="85">
        <v>0</v>
      </c>
      <c r="G930" s="85">
        <v>-220382.57</v>
      </c>
    </row>
    <row r="931" spans="1:7" x14ac:dyDescent="0.25">
      <c r="A931" t="s">
        <v>1380</v>
      </c>
      <c r="B931" t="s">
        <v>852</v>
      </c>
      <c r="C931" t="s">
        <v>271</v>
      </c>
      <c r="D931" s="85">
        <v>-220382.57</v>
      </c>
      <c r="E931" s="85">
        <v>0</v>
      </c>
      <c r="F931" s="85">
        <v>0</v>
      </c>
      <c r="G931" s="85">
        <v>-220382.57</v>
      </c>
    </row>
    <row r="932" spans="1:7" x14ac:dyDescent="0.25">
      <c r="A932" t="s">
        <v>1381</v>
      </c>
      <c r="B932" t="s">
        <v>335</v>
      </c>
      <c r="C932" t="s">
        <v>271</v>
      </c>
      <c r="D932" s="85">
        <v>-220382.57</v>
      </c>
      <c r="E932" s="85">
        <v>0</v>
      </c>
      <c r="F932" s="85">
        <v>0</v>
      </c>
      <c r="G932" s="85">
        <v>-220382.57</v>
      </c>
    </row>
    <row r="933" spans="1:7" x14ac:dyDescent="0.25">
      <c r="A933" t="s">
        <v>1382</v>
      </c>
      <c r="B933" t="s">
        <v>852</v>
      </c>
      <c r="C933" t="s">
        <v>283</v>
      </c>
      <c r="D933" s="85">
        <v>-220382.57</v>
      </c>
      <c r="E933" s="85">
        <v>0</v>
      </c>
      <c r="F933" s="85">
        <v>0</v>
      </c>
      <c r="G933" s="85">
        <v>-220382.57</v>
      </c>
    </row>
    <row r="934" spans="1:7" x14ac:dyDescent="0.25">
      <c r="A934" t="s">
        <v>1383</v>
      </c>
      <c r="B934" t="s">
        <v>1384</v>
      </c>
      <c r="C934" t="s">
        <v>271</v>
      </c>
      <c r="D934" s="85">
        <v>0</v>
      </c>
      <c r="E934" s="85">
        <v>3669.5</v>
      </c>
      <c r="F934" s="85">
        <v>3669.5</v>
      </c>
      <c r="G934" s="85">
        <v>0</v>
      </c>
    </row>
    <row r="935" spans="1:7" x14ac:dyDescent="0.25">
      <c r="A935" t="s">
        <v>1385</v>
      </c>
      <c r="B935" t="s">
        <v>1298</v>
      </c>
      <c r="C935" t="s">
        <v>271</v>
      </c>
      <c r="D935" s="85">
        <v>0</v>
      </c>
      <c r="E935" s="85">
        <v>3669.5</v>
      </c>
      <c r="F935" s="85">
        <v>3669.5</v>
      </c>
      <c r="G935" s="85">
        <v>0</v>
      </c>
    </row>
    <row r="936" spans="1:7" x14ac:dyDescent="0.25">
      <c r="A936" t="s">
        <v>1386</v>
      </c>
      <c r="B936" t="s">
        <v>1387</v>
      </c>
      <c r="C936" t="s">
        <v>271</v>
      </c>
      <c r="D936" s="85">
        <v>0</v>
      </c>
      <c r="E936" s="85">
        <v>3669.5</v>
      </c>
      <c r="F936" s="85">
        <v>3669.5</v>
      </c>
      <c r="G936" s="85">
        <v>0</v>
      </c>
    </row>
    <row r="937" spans="1:7" x14ac:dyDescent="0.25">
      <c r="A937" t="s">
        <v>1388</v>
      </c>
      <c r="B937" t="s">
        <v>581</v>
      </c>
      <c r="C937" t="s">
        <v>271</v>
      </c>
      <c r="D937" s="85">
        <v>0</v>
      </c>
      <c r="E937" s="85">
        <v>0</v>
      </c>
      <c r="F937" s="85">
        <v>0</v>
      </c>
      <c r="G937" s="85">
        <v>0</v>
      </c>
    </row>
    <row r="938" spans="1:7" x14ac:dyDescent="0.25">
      <c r="A938" t="s">
        <v>1389</v>
      </c>
      <c r="B938" t="s">
        <v>583</v>
      </c>
      <c r="C938" t="s">
        <v>271</v>
      </c>
      <c r="D938" s="85">
        <v>-726082.96</v>
      </c>
      <c r="E938" s="85">
        <v>0</v>
      </c>
      <c r="F938" s="85">
        <v>0</v>
      </c>
      <c r="G938" s="85">
        <v>-726082.96</v>
      </c>
    </row>
    <row r="939" spans="1:7" x14ac:dyDescent="0.25">
      <c r="A939" t="s">
        <v>1390</v>
      </c>
      <c r="B939" t="s">
        <v>595</v>
      </c>
      <c r="C939" t="s">
        <v>271</v>
      </c>
      <c r="D939" s="85">
        <v>-517928.98</v>
      </c>
      <c r="E939" s="85">
        <v>0</v>
      </c>
      <c r="F939" s="85">
        <v>0</v>
      </c>
      <c r="G939" s="85">
        <v>-517928.98</v>
      </c>
    </row>
    <row r="940" spans="1:7" x14ac:dyDescent="0.25">
      <c r="A940" t="s">
        <v>1391</v>
      </c>
      <c r="B940" t="s">
        <v>591</v>
      </c>
      <c r="C940" t="s">
        <v>271</v>
      </c>
      <c r="D940" s="85">
        <v>-517928.98</v>
      </c>
      <c r="E940" s="85">
        <v>0</v>
      </c>
      <c r="F940" s="85">
        <v>0</v>
      </c>
      <c r="G940" s="85">
        <v>-517928.98</v>
      </c>
    </row>
    <row r="941" spans="1:7" x14ac:dyDescent="0.25">
      <c r="A941" t="s">
        <v>1392</v>
      </c>
      <c r="B941" t="s">
        <v>595</v>
      </c>
      <c r="C941" t="s">
        <v>283</v>
      </c>
      <c r="D941" s="85">
        <v>-517928.98</v>
      </c>
      <c r="E941" s="85">
        <v>0</v>
      </c>
      <c r="F941" s="85">
        <v>0</v>
      </c>
      <c r="G941" s="85">
        <v>-517928.98</v>
      </c>
    </row>
    <row r="942" spans="1:7" x14ac:dyDescent="0.25">
      <c r="A942" t="s">
        <v>1393</v>
      </c>
      <c r="B942" t="s">
        <v>568</v>
      </c>
      <c r="C942" t="s">
        <v>271</v>
      </c>
      <c r="D942" s="85">
        <v>-7573.02</v>
      </c>
      <c r="E942" s="85">
        <v>0</v>
      </c>
      <c r="F942" s="85">
        <v>0</v>
      </c>
      <c r="G942" s="85">
        <v>-7573.02</v>
      </c>
    </row>
    <row r="943" spans="1:7" x14ac:dyDescent="0.25">
      <c r="A943" t="s">
        <v>1394</v>
      </c>
      <c r="B943" t="s">
        <v>591</v>
      </c>
      <c r="C943" t="s">
        <v>271</v>
      </c>
      <c r="D943" s="85">
        <v>-7573.02</v>
      </c>
      <c r="E943" s="85">
        <v>0</v>
      </c>
      <c r="F943" s="85">
        <v>0</v>
      </c>
      <c r="G943" s="85">
        <v>-7573.02</v>
      </c>
    </row>
    <row r="944" spans="1:7" x14ac:dyDescent="0.25">
      <c r="A944" t="s">
        <v>1395</v>
      </c>
      <c r="B944" t="s">
        <v>568</v>
      </c>
      <c r="C944" t="s">
        <v>283</v>
      </c>
      <c r="D944" s="85">
        <v>-7573.02</v>
      </c>
      <c r="E944" s="85">
        <v>0</v>
      </c>
      <c r="F944" s="85">
        <v>0</v>
      </c>
      <c r="G944" s="85">
        <v>-7573.02</v>
      </c>
    </row>
    <row r="945" spans="1:7" x14ac:dyDescent="0.25">
      <c r="A945" t="s">
        <v>1396</v>
      </c>
      <c r="B945" t="s">
        <v>616</v>
      </c>
      <c r="C945" t="s">
        <v>271</v>
      </c>
      <c r="D945" s="85">
        <v>-187117.7</v>
      </c>
      <c r="E945" s="85">
        <v>0</v>
      </c>
      <c r="F945" s="85">
        <v>0</v>
      </c>
      <c r="G945" s="85">
        <v>-187117.7</v>
      </c>
    </row>
    <row r="946" spans="1:7" x14ac:dyDescent="0.25">
      <c r="A946" t="s">
        <v>1397</v>
      </c>
      <c r="B946" t="s">
        <v>586</v>
      </c>
      <c r="C946" t="s">
        <v>271</v>
      </c>
      <c r="D946" s="85">
        <v>-84210.93</v>
      </c>
      <c r="E946" s="85">
        <v>0</v>
      </c>
      <c r="F946" s="85">
        <v>0</v>
      </c>
      <c r="G946" s="85">
        <v>-84210.93</v>
      </c>
    </row>
    <row r="947" spans="1:7" x14ac:dyDescent="0.25">
      <c r="A947" t="s">
        <v>1398</v>
      </c>
      <c r="B947" t="s">
        <v>616</v>
      </c>
      <c r="C947" t="s">
        <v>283</v>
      </c>
      <c r="D947" s="85">
        <v>-84210.93</v>
      </c>
      <c r="E947" s="85">
        <v>0</v>
      </c>
      <c r="F947" s="85">
        <v>0</v>
      </c>
      <c r="G947" s="85">
        <v>-84210.93</v>
      </c>
    </row>
    <row r="948" spans="1:7" x14ac:dyDescent="0.25">
      <c r="A948" t="s">
        <v>1399</v>
      </c>
      <c r="B948" t="s">
        <v>591</v>
      </c>
      <c r="C948" t="s">
        <v>271</v>
      </c>
      <c r="D948" s="85">
        <v>-102906.77</v>
      </c>
      <c r="E948" s="85">
        <v>0</v>
      </c>
      <c r="F948" s="85">
        <v>0</v>
      </c>
      <c r="G948" s="85">
        <v>-102906.77</v>
      </c>
    </row>
    <row r="949" spans="1:7" x14ac:dyDescent="0.25">
      <c r="A949" t="s">
        <v>1400</v>
      </c>
      <c r="B949" t="s">
        <v>616</v>
      </c>
      <c r="C949" t="s">
        <v>283</v>
      </c>
      <c r="D949" s="85">
        <v>-102906.77</v>
      </c>
      <c r="E949" s="85">
        <v>0</v>
      </c>
      <c r="F949" s="85">
        <v>0</v>
      </c>
      <c r="G949" s="85">
        <v>-102906.77</v>
      </c>
    </row>
    <row r="950" spans="1:7" x14ac:dyDescent="0.25">
      <c r="A950" t="s">
        <v>1401</v>
      </c>
      <c r="B950" t="s">
        <v>626</v>
      </c>
      <c r="C950" t="s">
        <v>271</v>
      </c>
      <c r="D950" s="85">
        <v>-2076</v>
      </c>
      <c r="E950" s="85">
        <v>0</v>
      </c>
      <c r="F950" s="85">
        <v>0</v>
      </c>
      <c r="G950" s="85">
        <v>-2076</v>
      </c>
    </row>
    <row r="951" spans="1:7" x14ac:dyDescent="0.25">
      <c r="A951" t="s">
        <v>1402</v>
      </c>
      <c r="B951" t="s">
        <v>586</v>
      </c>
      <c r="C951" t="s">
        <v>271</v>
      </c>
      <c r="D951" s="85">
        <v>-2076</v>
      </c>
      <c r="E951" s="85">
        <v>0</v>
      </c>
      <c r="F951" s="85">
        <v>0</v>
      </c>
      <c r="G951" s="85">
        <v>-2076</v>
      </c>
    </row>
    <row r="952" spans="1:7" x14ac:dyDescent="0.25">
      <c r="A952" t="s">
        <v>1403</v>
      </c>
      <c r="B952" t="s">
        <v>626</v>
      </c>
      <c r="C952" t="s">
        <v>283</v>
      </c>
      <c r="D952" s="85">
        <v>-2076</v>
      </c>
      <c r="E952" s="85">
        <v>0</v>
      </c>
      <c r="F952" s="85">
        <v>0</v>
      </c>
      <c r="G952" s="85">
        <v>-2076</v>
      </c>
    </row>
    <row r="953" spans="1:7" x14ac:dyDescent="0.25">
      <c r="A953" t="s">
        <v>1404</v>
      </c>
      <c r="B953" t="s">
        <v>632</v>
      </c>
      <c r="C953" t="s">
        <v>271</v>
      </c>
      <c r="D953" s="85">
        <v>-11387.26</v>
      </c>
      <c r="E953" s="85">
        <v>0</v>
      </c>
      <c r="F953" s="85">
        <v>0</v>
      </c>
      <c r="G953" s="85">
        <v>-11387.26</v>
      </c>
    </row>
    <row r="954" spans="1:7" x14ac:dyDescent="0.25">
      <c r="A954" t="s">
        <v>1405</v>
      </c>
      <c r="B954" t="s">
        <v>586</v>
      </c>
      <c r="C954" t="s">
        <v>271</v>
      </c>
      <c r="D954" s="85">
        <v>-9774.8799999999992</v>
      </c>
      <c r="E954" s="85">
        <v>0</v>
      </c>
      <c r="F954" s="85">
        <v>0</v>
      </c>
      <c r="G954" s="85">
        <v>-9774.8799999999992</v>
      </c>
    </row>
    <row r="955" spans="1:7" x14ac:dyDescent="0.25">
      <c r="A955" t="s">
        <v>1406</v>
      </c>
      <c r="B955" t="s">
        <v>632</v>
      </c>
      <c r="C955" t="s">
        <v>283</v>
      </c>
      <c r="D955" s="85">
        <v>-9774.8799999999992</v>
      </c>
      <c r="E955" s="85">
        <v>0</v>
      </c>
      <c r="F955" s="85">
        <v>0</v>
      </c>
      <c r="G955" s="85">
        <v>-9774.8799999999992</v>
      </c>
    </row>
    <row r="956" spans="1:7" x14ac:dyDescent="0.25">
      <c r="A956" t="s">
        <v>1407</v>
      </c>
      <c r="B956" t="s">
        <v>591</v>
      </c>
      <c r="C956" t="s">
        <v>271</v>
      </c>
      <c r="D956" s="85">
        <v>-1612.38</v>
      </c>
      <c r="E956" s="85">
        <v>0</v>
      </c>
      <c r="F956" s="85">
        <v>0</v>
      </c>
      <c r="G956" s="85">
        <v>-1612.38</v>
      </c>
    </row>
    <row r="957" spans="1:7" x14ac:dyDescent="0.25">
      <c r="A957" t="s">
        <v>1408</v>
      </c>
      <c r="B957" t="s">
        <v>632</v>
      </c>
      <c r="C957" t="s">
        <v>283</v>
      </c>
      <c r="D957" s="85">
        <v>-1612.38</v>
      </c>
      <c r="E957" s="85">
        <v>0</v>
      </c>
      <c r="F957" s="85">
        <v>0</v>
      </c>
      <c r="G957" s="85">
        <v>-1612.38</v>
      </c>
    </row>
    <row r="958" spans="1:7" x14ac:dyDescent="0.25">
      <c r="A958" t="s">
        <v>1409</v>
      </c>
      <c r="B958" t="s">
        <v>642</v>
      </c>
      <c r="C958" t="s">
        <v>271</v>
      </c>
      <c r="D958" s="85">
        <v>726082.96</v>
      </c>
      <c r="E958" s="85">
        <v>0</v>
      </c>
      <c r="F958" s="85">
        <v>0</v>
      </c>
      <c r="G958" s="85">
        <v>726082.96</v>
      </c>
    </row>
    <row r="959" spans="1:7" x14ac:dyDescent="0.25">
      <c r="A959" t="s">
        <v>1410</v>
      </c>
      <c r="B959" t="s">
        <v>595</v>
      </c>
      <c r="C959" t="s">
        <v>271</v>
      </c>
      <c r="D959" s="85">
        <v>517928.98</v>
      </c>
      <c r="E959" s="85">
        <v>0</v>
      </c>
      <c r="F959" s="85">
        <v>0</v>
      </c>
      <c r="G959" s="85">
        <v>517928.98</v>
      </c>
    </row>
    <row r="960" spans="1:7" x14ac:dyDescent="0.25">
      <c r="A960" t="s">
        <v>1411</v>
      </c>
      <c r="B960" t="s">
        <v>591</v>
      </c>
      <c r="C960" t="s">
        <v>271</v>
      </c>
      <c r="D960" s="85">
        <v>517928.98</v>
      </c>
      <c r="E960" s="85">
        <v>0</v>
      </c>
      <c r="F960" s="85">
        <v>0</v>
      </c>
      <c r="G960" s="85">
        <v>517928.98</v>
      </c>
    </row>
    <row r="961" spans="1:7" x14ac:dyDescent="0.25">
      <c r="A961" t="s">
        <v>1412</v>
      </c>
      <c r="B961" t="s">
        <v>595</v>
      </c>
      <c r="C961" t="s">
        <v>283</v>
      </c>
      <c r="D961" s="85">
        <v>517928.98</v>
      </c>
      <c r="E961" s="85">
        <v>0</v>
      </c>
      <c r="F961" s="85">
        <v>0</v>
      </c>
      <c r="G961" s="85">
        <v>517928.98</v>
      </c>
    </row>
    <row r="962" spans="1:7" x14ac:dyDescent="0.25">
      <c r="A962" t="s">
        <v>1413</v>
      </c>
      <c r="B962" t="s">
        <v>568</v>
      </c>
      <c r="C962" t="s">
        <v>271</v>
      </c>
      <c r="D962" s="85">
        <v>7573.02</v>
      </c>
      <c r="E962" s="85">
        <v>0</v>
      </c>
      <c r="F962" s="85">
        <v>0</v>
      </c>
      <c r="G962" s="85">
        <v>7573.02</v>
      </c>
    </row>
    <row r="963" spans="1:7" x14ac:dyDescent="0.25">
      <c r="A963" t="s">
        <v>1414</v>
      </c>
      <c r="B963" t="s">
        <v>591</v>
      </c>
      <c r="C963" t="s">
        <v>271</v>
      </c>
      <c r="D963" s="85">
        <v>7573.02</v>
      </c>
      <c r="E963" s="85">
        <v>0</v>
      </c>
      <c r="F963" s="85">
        <v>0</v>
      </c>
      <c r="G963" s="85">
        <v>7573.02</v>
      </c>
    </row>
    <row r="964" spans="1:7" x14ac:dyDescent="0.25">
      <c r="A964" t="s">
        <v>1415</v>
      </c>
      <c r="B964" t="s">
        <v>568</v>
      </c>
      <c r="C964" t="s">
        <v>283</v>
      </c>
      <c r="D964" s="85">
        <v>7573.02</v>
      </c>
      <c r="E964" s="85">
        <v>0</v>
      </c>
      <c r="F964" s="85">
        <v>0</v>
      </c>
      <c r="G964" s="85">
        <v>7573.02</v>
      </c>
    </row>
    <row r="965" spans="1:7" x14ac:dyDescent="0.25">
      <c r="A965" t="s">
        <v>1416</v>
      </c>
      <c r="B965" t="s">
        <v>616</v>
      </c>
      <c r="C965" t="s">
        <v>271</v>
      </c>
      <c r="D965" s="85">
        <v>187117.7</v>
      </c>
      <c r="E965" s="85">
        <v>0</v>
      </c>
      <c r="F965" s="85">
        <v>0</v>
      </c>
      <c r="G965" s="85">
        <v>187117.7</v>
      </c>
    </row>
    <row r="966" spans="1:7" x14ac:dyDescent="0.25">
      <c r="A966" t="s">
        <v>1417</v>
      </c>
      <c r="B966" t="s">
        <v>586</v>
      </c>
      <c r="C966" t="s">
        <v>271</v>
      </c>
      <c r="D966" s="85">
        <v>84210.93</v>
      </c>
      <c r="E966" s="85">
        <v>0</v>
      </c>
      <c r="F966" s="85">
        <v>0</v>
      </c>
      <c r="G966" s="85">
        <v>84210.93</v>
      </c>
    </row>
    <row r="967" spans="1:7" x14ac:dyDescent="0.25">
      <c r="A967" t="s">
        <v>1418</v>
      </c>
      <c r="B967" t="s">
        <v>616</v>
      </c>
      <c r="C967" t="s">
        <v>283</v>
      </c>
      <c r="D967" s="85">
        <v>84210.93</v>
      </c>
      <c r="E967" s="85">
        <v>0</v>
      </c>
      <c r="F967" s="85">
        <v>0</v>
      </c>
      <c r="G967" s="85">
        <v>84210.93</v>
      </c>
    </row>
    <row r="968" spans="1:7" x14ac:dyDescent="0.25">
      <c r="A968" t="s">
        <v>1419</v>
      </c>
      <c r="B968" t="s">
        <v>591</v>
      </c>
      <c r="C968" t="s">
        <v>271</v>
      </c>
      <c r="D968" s="85">
        <v>102906.77</v>
      </c>
      <c r="E968" s="85">
        <v>0</v>
      </c>
      <c r="F968" s="85">
        <v>0</v>
      </c>
      <c r="G968" s="85">
        <v>102906.77</v>
      </c>
    </row>
    <row r="969" spans="1:7" x14ac:dyDescent="0.25">
      <c r="A969" t="s">
        <v>1420</v>
      </c>
      <c r="B969" t="s">
        <v>616</v>
      </c>
      <c r="C969" t="s">
        <v>283</v>
      </c>
      <c r="D969" s="85">
        <v>102906.77</v>
      </c>
      <c r="E969" s="85">
        <v>0</v>
      </c>
      <c r="F969" s="85">
        <v>0</v>
      </c>
      <c r="G969" s="85">
        <v>102906.77</v>
      </c>
    </row>
    <row r="970" spans="1:7" x14ac:dyDescent="0.25">
      <c r="A970" t="s">
        <v>1421</v>
      </c>
      <c r="B970" t="s">
        <v>626</v>
      </c>
      <c r="C970" t="s">
        <v>271</v>
      </c>
      <c r="D970" s="85">
        <v>2076</v>
      </c>
      <c r="E970" s="85">
        <v>0</v>
      </c>
      <c r="F970" s="85">
        <v>0</v>
      </c>
      <c r="G970" s="85">
        <v>2076</v>
      </c>
    </row>
    <row r="971" spans="1:7" x14ac:dyDescent="0.25">
      <c r="A971" t="s">
        <v>1422</v>
      </c>
      <c r="B971" t="s">
        <v>586</v>
      </c>
      <c r="C971" t="s">
        <v>271</v>
      </c>
      <c r="D971" s="85">
        <v>2076</v>
      </c>
      <c r="E971" s="85">
        <v>0</v>
      </c>
      <c r="F971" s="85">
        <v>0</v>
      </c>
      <c r="G971" s="85">
        <v>2076</v>
      </c>
    </row>
    <row r="972" spans="1:7" x14ac:dyDescent="0.25">
      <c r="A972" t="s">
        <v>1423</v>
      </c>
      <c r="B972" t="s">
        <v>626</v>
      </c>
      <c r="C972" t="s">
        <v>283</v>
      </c>
      <c r="D972" s="85">
        <v>2076</v>
      </c>
      <c r="E972" s="85">
        <v>0</v>
      </c>
      <c r="F972" s="85">
        <v>0</v>
      </c>
      <c r="G972" s="85">
        <v>2076</v>
      </c>
    </row>
    <row r="973" spans="1:7" x14ac:dyDescent="0.25">
      <c r="A973" t="s">
        <v>1424</v>
      </c>
      <c r="B973" t="s">
        <v>632</v>
      </c>
      <c r="C973" t="s">
        <v>271</v>
      </c>
      <c r="D973" s="85">
        <v>11387.26</v>
      </c>
      <c r="E973" s="85">
        <v>0</v>
      </c>
      <c r="F973" s="85">
        <v>0</v>
      </c>
      <c r="G973" s="85">
        <v>11387.26</v>
      </c>
    </row>
    <row r="974" spans="1:7" x14ac:dyDescent="0.25">
      <c r="A974" t="s">
        <v>1425</v>
      </c>
      <c r="B974" t="s">
        <v>586</v>
      </c>
      <c r="C974" t="s">
        <v>271</v>
      </c>
      <c r="D974" s="85">
        <v>9774.8799999999992</v>
      </c>
      <c r="E974" s="85">
        <v>0</v>
      </c>
      <c r="F974" s="85">
        <v>0</v>
      </c>
      <c r="G974" s="85">
        <v>9774.8799999999992</v>
      </c>
    </row>
    <row r="975" spans="1:7" x14ac:dyDescent="0.25">
      <c r="A975" t="s">
        <v>1426</v>
      </c>
      <c r="B975" t="s">
        <v>632</v>
      </c>
      <c r="C975" t="s">
        <v>283</v>
      </c>
      <c r="D975" s="85">
        <v>9774.8799999999992</v>
      </c>
      <c r="E975" s="85">
        <v>0</v>
      </c>
      <c r="F975" s="85">
        <v>0</v>
      </c>
      <c r="G975" s="85">
        <v>9774.8799999999992</v>
      </c>
    </row>
    <row r="976" spans="1:7" x14ac:dyDescent="0.25">
      <c r="A976" t="s">
        <v>1427</v>
      </c>
      <c r="B976" t="s">
        <v>591</v>
      </c>
      <c r="C976" t="s">
        <v>271</v>
      </c>
      <c r="D976" s="85">
        <v>1612.38</v>
      </c>
      <c r="E976" s="85">
        <v>0</v>
      </c>
      <c r="F976" s="85">
        <v>0</v>
      </c>
      <c r="G976" s="85">
        <v>1612.38</v>
      </c>
    </row>
    <row r="977" spans="1:7" x14ac:dyDescent="0.25">
      <c r="A977" t="s">
        <v>1428</v>
      </c>
      <c r="B977" t="s">
        <v>632</v>
      </c>
      <c r="C977" t="s">
        <v>283</v>
      </c>
      <c r="D977" s="85">
        <v>1612.38</v>
      </c>
      <c r="E977" s="85">
        <v>0</v>
      </c>
      <c r="F977" s="85">
        <v>0</v>
      </c>
      <c r="G977" s="85">
        <v>1612.38</v>
      </c>
    </row>
    <row r="978" spans="1:7" x14ac:dyDescent="0.25">
      <c r="A978" t="s">
        <v>1429</v>
      </c>
      <c r="B978" t="s">
        <v>793</v>
      </c>
      <c r="C978" t="s">
        <v>271</v>
      </c>
      <c r="D978" s="85">
        <v>0</v>
      </c>
      <c r="E978" s="85">
        <v>3669.5</v>
      </c>
      <c r="F978" s="85">
        <v>3669.5</v>
      </c>
      <c r="G978" s="85">
        <v>0</v>
      </c>
    </row>
    <row r="979" spans="1:7" x14ac:dyDescent="0.25">
      <c r="A979" t="s">
        <v>1430</v>
      </c>
      <c r="B979" t="s">
        <v>795</v>
      </c>
      <c r="C979" t="s">
        <v>271</v>
      </c>
      <c r="D979" s="85">
        <v>-457650.87</v>
      </c>
      <c r="E979" s="85">
        <v>0</v>
      </c>
      <c r="F979" s="85">
        <v>3669.5</v>
      </c>
      <c r="G979" s="85">
        <v>-461320.37</v>
      </c>
    </row>
    <row r="980" spans="1:7" x14ac:dyDescent="0.25">
      <c r="A980" t="s">
        <v>1431</v>
      </c>
      <c r="B980" t="s">
        <v>616</v>
      </c>
      <c r="C980" t="s">
        <v>271</v>
      </c>
      <c r="D980" s="85">
        <v>-341828.63</v>
      </c>
      <c r="E980" s="85">
        <v>0</v>
      </c>
      <c r="F980" s="85">
        <v>1820</v>
      </c>
      <c r="G980" s="85">
        <v>-343648.63</v>
      </c>
    </row>
    <row r="981" spans="1:7" x14ac:dyDescent="0.25">
      <c r="A981" t="s">
        <v>1432</v>
      </c>
      <c r="B981" t="s">
        <v>335</v>
      </c>
      <c r="C981" t="s">
        <v>271</v>
      </c>
      <c r="D981" s="85">
        <v>-341828.63</v>
      </c>
      <c r="E981" s="85">
        <v>0</v>
      </c>
      <c r="F981" s="85">
        <v>1820</v>
      </c>
      <c r="G981" s="85">
        <v>-343648.63</v>
      </c>
    </row>
    <row r="982" spans="1:7" x14ac:dyDescent="0.25">
      <c r="A982" t="s">
        <v>1433</v>
      </c>
      <c r="B982" t="s">
        <v>616</v>
      </c>
      <c r="C982" t="s">
        <v>283</v>
      </c>
      <c r="D982" s="85">
        <v>-341828.63</v>
      </c>
      <c r="E982" s="85">
        <v>0</v>
      </c>
      <c r="F982" s="85">
        <v>1820</v>
      </c>
      <c r="G982" s="85">
        <v>-343648.63</v>
      </c>
    </row>
    <row r="983" spans="1:7" x14ac:dyDescent="0.25">
      <c r="A983" t="s">
        <v>1434</v>
      </c>
      <c r="B983" t="s">
        <v>626</v>
      </c>
      <c r="C983" t="s">
        <v>271</v>
      </c>
      <c r="D983" s="85">
        <v>-109513.56</v>
      </c>
      <c r="E983" s="85">
        <v>0</v>
      </c>
      <c r="F983" s="85">
        <v>0</v>
      </c>
      <c r="G983" s="85">
        <v>-109513.56</v>
      </c>
    </row>
    <row r="984" spans="1:7" x14ac:dyDescent="0.25">
      <c r="A984" t="s">
        <v>1435</v>
      </c>
      <c r="B984" t="s">
        <v>335</v>
      </c>
      <c r="C984" t="s">
        <v>271</v>
      </c>
      <c r="D984" s="85">
        <v>-109513.56</v>
      </c>
      <c r="E984" s="85">
        <v>0</v>
      </c>
      <c r="F984" s="85">
        <v>0</v>
      </c>
      <c r="G984" s="85">
        <v>-109513.56</v>
      </c>
    </row>
    <row r="985" spans="1:7" x14ac:dyDescent="0.25">
      <c r="A985" t="s">
        <v>1436</v>
      </c>
      <c r="B985" t="s">
        <v>626</v>
      </c>
      <c r="C985" t="s">
        <v>283</v>
      </c>
      <c r="D985" s="85">
        <v>-109513.56</v>
      </c>
      <c r="E985" s="85">
        <v>0</v>
      </c>
      <c r="F985" s="85">
        <v>0</v>
      </c>
      <c r="G985" s="85">
        <v>-109513.56</v>
      </c>
    </row>
    <row r="986" spans="1:7" x14ac:dyDescent="0.25">
      <c r="A986" t="s">
        <v>1437</v>
      </c>
      <c r="B986" t="s">
        <v>632</v>
      </c>
      <c r="C986" t="s">
        <v>271</v>
      </c>
      <c r="D986" s="85">
        <v>-6308.68</v>
      </c>
      <c r="E986" s="85">
        <v>0</v>
      </c>
      <c r="F986" s="85">
        <v>1849.5</v>
      </c>
      <c r="G986" s="85">
        <v>-8158.18</v>
      </c>
    </row>
    <row r="987" spans="1:7" x14ac:dyDescent="0.25">
      <c r="A987" t="s">
        <v>1438</v>
      </c>
      <c r="B987" t="s">
        <v>335</v>
      </c>
      <c r="C987" t="s">
        <v>271</v>
      </c>
      <c r="D987" s="85">
        <v>-6308.68</v>
      </c>
      <c r="E987" s="85">
        <v>0</v>
      </c>
      <c r="F987" s="85">
        <v>1849.5</v>
      </c>
      <c r="G987" s="85">
        <v>-8158.18</v>
      </c>
    </row>
    <row r="988" spans="1:7" x14ac:dyDescent="0.25">
      <c r="A988" t="s">
        <v>1439</v>
      </c>
      <c r="B988" t="s">
        <v>632</v>
      </c>
      <c r="C988" t="s">
        <v>283</v>
      </c>
      <c r="D988" s="85">
        <v>-6308.68</v>
      </c>
      <c r="E988" s="85">
        <v>0</v>
      </c>
      <c r="F988" s="85">
        <v>1849.5</v>
      </c>
      <c r="G988" s="85">
        <v>-8158.18</v>
      </c>
    </row>
    <row r="989" spans="1:7" x14ac:dyDescent="0.25">
      <c r="A989" t="s">
        <v>1440</v>
      </c>
      <c r="B989" t="s">
        <v>814</v>
      </c>
      <c r="C989" t="s">
        <v>271</v>
      </c>
      <c r="D989" s="85">
        <v>457650.87</v>
      </c>
      <c r="E989" s="85">
        <v>3669.5</v>
      </c>
      <c r="F989" s="85">
        <v>0</v>
      </c>
      <c r="G989" s="85">
        <v>461320.37</v>
      </c>
    </row>
    <row r="990" spans="1:7" x14ac:dyDescent="0.25">
      <c r="A990" t="s">
        <v>1441</v>
      </c>
      <c r="B990" t="s">
        <v>616</v>
      </c>
      <c r="C990" t="s">
        <v>271</v>
      </c>
      <c r="D990" s="85">
        <v>341828.63</v>
      </c>
      <c r="E990" s="85">
        <v>1820</v>
      </c>
      <c r="F990" s="85">
        <v>0</v>
      </c>
      <c r="G990" s="85">
        <v>343648.63</v>
      </c>
    </row>
    <row r="991" spans="1:7" x14ac:dyDescent="0.25">
      <c r="A991" t="s">
        <v>1442</v>
      </c>
      <c r="B991" t="s">
        <v>335</v>
      </c>
      <c r="C991" t="s">
        <v>271</v>
      </c>
      <c r="D991" s="85">
        <v>341828.63</v>
      </c>
      <c r="E991" s="85">
        <v>1820</v>
      </c>
      <c r="F991" s="85">
        <v>0</v>
      </c>
      <c r="G991" s="85">
        <v>343648.63</v>
      </c>
    </row>
    <row r="992" spans="1:7" x14ac:dyDescent="0.25">
      <c r="A992" t="s">
        <v>1443</v>
      </c>
      <c r="B992" t="s">
        <v>616</v>
      </c>
      <c r="C992" t="s">
        <v>283</v>
      </c>
      <c r="D992" s="85">
        <v>341828.63</v>
      </c>
      <c r="E992" s="85">
        <v>1820</v>
      </c>
      <c r="F992" s="85">
        <v>0</v>
      </c>
      <c r="G992" s="85">
        <v>343648.63</v>
      </c>
    </row>
    <row r="993" spans="1:7" x14ac:dyDescent="0.25">
      <c r="A993" t="s">
        <v>1444</v>
      </c>
      <c r="B993" t="s">
        <v>626</v>
      </c>
      <c r="C993" t="s">
        <v>271</v>
      </c>
      <c r="D993" s="85">
        <v>109513.56</v>
      </c>
      <c r="E993" s="85">
        <v>0</v>
      </c>
      <c r="F993" s="85">
        <v>0</v>
      </c>
      <c r="G993" s="85">
        <v>109513.56</v>
      </c>
    </row>
    <row r="994" spans="1:7" x14ac:dyDescent="0.25">
      <c r="A994" t="s">
        <v>1445</v>
      </c>
      <c r="B994" t="s">
        <v>335</v>
      </c>
      <c r="C994" t="s">
        <v>271</v>
      </c>
      <c r="D994" s="85">
        <v>109513.56</v>
      </c>
      <c r="E994" s="85">
        <v>0</v>
      </c>
      <c r="F994" s="85">
        <v>0</v>
      </c>
      <c r="G994" s="85">
        <v>109513.56</v>
      </c>
    </row>
    <row r="995" spans="1:7" x14ac:dyDescent="0.25">
      <c r="A995" t="s">
        <v>1446</v>
      </c>
      <c r="B995" t="s">
        <v>626</v>
      </c>
      <c r="C995" t="s">
        <v>283</v>
      </c>
      <c r="D995" s="85">
        <v>109513.56</v>
      </c>
      <c r="E995" s="85">
        <v>0</v>
      </c>
      <c r="F995" s="85">
        <v>0</v>
      </c>
      <c r="G995" s="85">
        <v>109513.56</v>
      </c>
    </row>
    <row r="996" spans="1:7" x14ac:dyDescent="0.25">
      <c r="A996" t="s">
        <v>1447</v>
      </c>
      <c r="B996" t="s">
        <v>632</v>
      </c>
      <c r="C996" t="s">
        <v>271</v>
      </c>
      <c r="D996" s="85">
        <v>6308.68</v>
      </c>
      <c r="E996" s="85">
        <v>1849.5</v>
      </c>
      <c r="F996" s="85">
        <v>0</v>
      </c>
      <c r="G996" s="85">
        <v>8158.18</v>
      </c>
    </row>
    <row r="997" spans="1:7" x14ac:dyDescent="0.25">
      <c r="A997" t="s">
        <v>1448</v>
      </c>
      <c r="B997" t="s">
        <v>335</v>
      </c>
      <c r="C997" t="s">
        <v>271</v>
      </c>
      <c r="D997" s="85">
        <v>6308.68</v>
      </c>
      <c r="E997" s="85">
        <v>1849.5</v>
      </c>
      <c r="F997" s="85">
        <v>0</v>
      </c>
      <c r="G997" s="85">
        <v>8158.18</v>
      </c>
    </row>
    <row r="998" spans="1:7" x14ac:dyDescent="0.25">
      <c r="A998" t="s">
        <v>1449</v>
      </c>
      <c r="B998" t="s">
        <v>632</v>
      </c>
      <c r="C998" t="s">
        <v>283</v>
      </c>
      <c r="D998" s="85">
        <v>6308.68</v>
      </c>
      <c r="E998" s="85">
        <v>1849.5</v>
      </c>
      <c r="F998" s="85">
        <v>0</v>
      </c>
      <c r="G998" s="85">
        <v>8158.18</v>
      </c>
    </row>
    <row r="999" spans="1:7" x14ac:dyDescent="0.25">
      <c r="A999" t="s">
        <v>1450</v>
      </c>
      <c r="B999" t="s">
        <v>1451</v>
      </c>
      <c r="C999" t="s">
        <v>271</v>
      </c>
      <c r="D999" s="85">
        <v>0</v>
      </c>
      <c r="E999" s="85">
        <v>0</v>
      </c>
      <c r="F999" s="85">
        <v>0</v>
      </c>
      <c r="G999" s="85">
        <v>0</v>
      </c>
    </row>
    <row r="1000" spans="1:7" x14ac:dyDescent="0.25">
      <c r="A1000" t="s">
        <v>1452</v>
      </c>
      <c r="B1000" t="s">
        <v>581</v>
      </c>
      <c r="C1000" t="s">
        <v>271</v>
      </c>
      <c r="D1000" s="85">
        <v>0</v>
      </c>
      <c r="E1000" s="85">
        <v>0</v>
      </c>
      <c r="F1000" s="85">
        <v>0</v>
      </c>
      <c r="G1000" s="85">
        <v>0</v>
      </c>
    </row>
    <row r="1001" spans="1:7" x14ac:dyDescent="0.25">
      <c r="A1001" t="s">
        <v>1453</v>
      </c>
      <c r="B1001" t="s">
        <v>845</v>
      </c>
      <c r="C1001" t="s">
        <v>271</v>
      </c>
      <c r="D1001" s="85">
        <v>-228705.84</v>
      </c>
      <c r="E1001" s="85">
        <v>0</v>
      </c>
      <c r="F1001" s="85">
        <v>0</v>
      </c>
      <c r="G1001" s="85">
        <v>-228705.84</v>
      </c>
    </row>
    <row r="1002" spans="1:7" x14ac:dyDescent="0.25">
      <c r="A1002" t="s">
        <v>1454</v>
      </c>
      <c r="B1002" t="s">
        <v>852</v>
      </c>
      <c r="C1002" t="s">
        <v>271</v>
      </c>
      <c r="D1002" s="85">
        <v>-228705.84</v>
      </c>
      <c r="E1002" s="85">
        <v>0</v>
      </c>
      <c r="F1002" s="85">
        <v>0</v>
      </c>
      <c r="G1002" s="85">
        <v>-228705.84</v>
      </c>
    </row>
    <row r="1003" spans="1:7" x14ac:dyDescent="0.25">
      <c r="A1003" t="s">
        <v>1455</v>
      </c>
      <c r="B1003" t="s">
        <v>591</v>
      </c>
      <c r="C1003" t="s">
        <v>271</v>
      </c>
      <c r="D1003" s="85">
        <v>-228705.84</v>
      </c>
      <c r="E1003" s="85">
        <v>0</v>
      </c>
      <c r="F1003" s="85">
        <v>0</v>
      </c>
      <c r="G1003" s="85">
        <v>-228705.84</v>
      </c>
    </row>
    <row r="1004" spans="1:7" x14ac:dyDescent="0.25">
      <c r="A1004" t="s">
        <v>1456</v>
      </c>
      <c r="B1004" t="s">
        <v>852</v>
      </c>
      <c r="C1004" t="s">
        <v>283</v>
      </c>
      <c r="D1004" s="85">
        <v>-228705.84</v>
      </c>
      <c r="E1004" s="85">
        <v>0</v>
      </c>
      <c r="F1004" s="85">
        <v>0</v>
      </c>
      <c r="G1004" s="85">
        <v>-228705.84</v>
      </c>
    </row>
    <row r="1005" spans="1:7" x14ac:dyDescent="0.25">
      <c r="A1005" t="s">
        <v>1457</v>
      </c>
      <c r="B1005" t="s">
        <v>862</v>
      </c>
      <c r="C1005" t="s">
        <v>271</v>
      </c>
      <c r="D1005" s="85">
        <v>228705.84</v>
      </c>
      <c r="E1005" s="85">
        <v>0</v>
      </c>
      <c r="F1005" s="85">
        <v>0</v>
      </c>
      <c r="G1005" s="85">
        <v>228705.84</v>
      </c>
    </row>
    <row r="1006" spans="1:7" x14ac:dyDescent="0.25">
      <c r="A1006" t="s">
        <v>1458</v>
      </c>
      <c r="B1006" t="s">
        <v>852</v>
      </c>
      <c r="C1006" t="s">
        <v>271</v>
      </c>
      <c r="D1006" s="85">
        <v>228705.84</v>
      </c>
      <c r="E1006" s="85">
        <v>0</v>
      </c>
      <c r="F1006" s="85">
        <v>0</v>
      </c>
      <c r="G1006" s="85">
        <v>228705.84</v>
      </c>
    </row>
    <row r="1007" spans="1:7" x14ac:dyDescent="0.25">
      <c r="A1007" t="s">
        <v>1459</v>
      </c>
      <c r="B1007" t="s">
        <v>591</v>
      </c>
      <c r="C1007" t="s">
        <v>271</v>
      </c>
      <c r="D1007" s="85">
        <v>228705.84</v>
      </c>
      <c r="E1007" s="85">
        <v>0</v>
      </c>
      <c r="F1007" s="85">
        <v>0</v>
      </c>
      <c r="G1007" s="85">
        <v>228705.84</v>
      </c>
    </row>
    <row r="1008" spans="1:7" x14ac:dyDescent="0.25">
      <c r="A1008" t="s">
        <v>1460</v>
      </c>
      <c r="B1008" t="s">
        <v>852</v>
      </c>
      <c r="C1008" t="s">
        <v>283</v>
      </c>
      <c r="D1008" s="85">
        <v>228705.84</v>
      </c>
      <c r="E1008" s="85">
        <v>0</v>
      </c>
      <c r="F1008" s="85">
        <v>0</v>
      </c>
      <c r="G1008" s="85">
        <v>228705.84</v>
      </c>
    </row>
    <row r="1009" spans="1:9" x14ac:dyDescent="0.25">
      <c r="A1009" t="s">
        <v>1461</v>
      </c>
      <c r="B1009" t="s">
        <v>793</v>
      </c>
      <c r="C1009" t="s">
        <v>271</v>
      </c>
      <c r="D1009" s="85">
        <v>0</v>
      </c>
      <c r="E1009" s="85">
        <v>0</v>
      </c>
      <c r="F1009" s="85">
        <v>0</v>
      </c>
      <c r="G1009" s="85">
        <v>0</v>
      </c>
    </row>
    <row r="1010" spans="1:9" x14ac:dyDescent="0.25">
      <c r="A1010" t="s">
        <v>1462</v>
      </c>
      <c r="B1010" t="s">
        <v>887</v>
      </c>
      <c r="C1010" t="s">
        <v>271</v>
      </c>
      <c r="D1010" s="85">
        <v>-220382.57</v>
      </c>
      <c r="E1010" s="85">
        <v>0</v>
      </c>
      <c r="F1010" s="85">
        <v>0</v>
      </c>
      <c r="G1010" s="85">
        <v>-220382.57</v>
      </c>
    </row>
    <row r="1011" spans="1:9" x14ac:dyDescent="0.25">
      <c r="A1011" t="s">
        <v>1463</v>
      </c>
      <c r="B1011" t="s">
        <v>852</v>
      </c>
      <c r="C1011" t="s">
        <v>271</v>
      </c>
      <c r="D1011" s="85">
        <v>-220382.57</v>
      </c>
      <c r="E1011" s="85">
        <v>0</v>
      </c>
      <c r="F1011" s="85">
        <v>0</v>
      </c>
      <c r="G1011" s="85">
        <v>-220382.57</v>
      </c>
    </row>
    <row r="1012" spans="1:9" x14ac:dyDescent="0.25">
      <c r="A1012" t="s">
        <v>1464</v>
      </c>
      <c r="B1012" t="s">
        <v>335</v>
      </c>
      <c r="C1012" t="s">
        <v>271</v>
      </c>
      <c r="D1012" s="85">
        <v>-220382.57</v>
      </c>
      <c r="E1012" s="85">
        <v>0</v>
      </c>
      <c r="F1012" s="85">
        <v>0</v>
      </c>
      <c r="G1012" s="85">
        <v>-220382.57</v>
      </c>
    </row>
    <row r="1013" spans="1:9" x14ac:dyDescent="0.25">
      <c r="A1013" t="s">
        <v>1465</v>
      </c>
      <c r="B1013" t="s">
        <v>852</v>
      </c>
      <c r="C1013" t="s">
        <v>283</v>
      </c>
      <c r="D1013" s="85">
        <v>-220382.57</v>
      </c>
      <c r="E1013" s="85">
        <v>0</v>
      </c>
      <c r="F1013" s="85">
        <v>0</v>
      </c>
      <c r="G1013" s="85">
        <v>-220382.57</v>
      </c>
    </row>
    <row r="1014" spans="1:9" x14ac:dyDescent="0.25">
      <c r="A1014" t="s">
        <v>1466</v>
      </c>
      <c r="B1014" t="s">
        <v>892</v>
      </c>
      <c r="C1014" t="s">
        <v>271</v>
      </c>
      <c r="D1014" s="85">
        <v>220382.57</v>
      </c>
      <c r="E1014" s="85">
        <v>0</v>
      </c>
      <c r="F1014" s="85">
        <v>0</v>
      </c>
      <c r="G1014" s="85">
        <v>220382.57</v>
      </c>
    </row>
    <row r="1015" spans="1:9" x14ac:dyDescent="0.25">
      <c r="A1015" t="s">
        <v>1467</v>
      </c>
      <c r="B1015" t="s">
        <v>852</v>
      </c>
      <c r="C1015" t="s">
        <v>271</v>
      </c>
      <c r="D1015" s="85">
        <v>220382.57</v>
      </c>
      <c r="E1015" s="85">
        <v>0</v>
      </c>
      <c r="F1015" s="85">
        <v>0</v>
      </c>
      <c r="G1015" s="85">
        <v>220382.57</v>
      </c>
    </row>
    <row r="1016" spans="1:9" x14ac:dyDescent="0.25">
      <c r="A1016" t="s">
        <v>1468</v>
      </c>
      <c r="B1016" t="s">
        <v>335</v>
      </c>
      <c r="C1016" t="s">
        <v>271</v>
      </c>
      <c r="D1016" s="85">
        <v>220382.57</v>
      </c>
      <c r="E1016" s="85">
        <v>0</v>
      </c>
      <c r="F1016" s="85">
        <v>0</v>
      </c>
      <c r="G1016" s="85">
        <v>220382.57</v>
      </c>
    </row>
    <row r="1017" spans="1:9" x14ac:dyDescent="0.25">
      <c r="A1017" t="s">
        <v>1469</v>
      </c>
      <c r="B1017" t="s">
        <v>852</v>
      </c>
      <c r="C1017" t="s">
        <v>283</v>
      </c>
      <c r="D1017" s="85">
        <v>220382.57</v>
      </c>
      <c r="E1017" s="85">
        <v>0</v>
      </c>
      <c r="F1017" s="85">
        <v>0</v>
      </c>
      <c r="G1017" s="85">
        <v>220382.57</v>
      </c>
    </row>
    <row r="1018" spans="1:9" x14ac:dyDescent="0.25">
      <c r="A1018" t="s">
        <v>1470</v>
      </c>
      <c r="B1018" t="s">
        <v>1471</v>
      </c>
      <c r="C1018" t="s">
        <v>271</v>
      </c>
      <c r="D1018" s="85">
        <v>-1738356.48</v>
      </c>
      <c r="E1018" s="85">
        <v>21055521.969999999</v>
      </c>
      <c r="F1018" s="85">
        <v>26027033.27</v>
      </c>
      <c r="G1018" s="85">
        <v>-6709867.7800000003</v>
      </c>
      <c r="I1018" s="174">
        <f>SUM(G1018,G1717)</f>
        <v>-17036275.190000001</v>
      </c>
    </row>
    <row r="1019" spans="1:9" x14ac:dyDescent="0.25">
      <c r="A1019" t="s">
        <v>1472</v>
      </c>
      <c r="B1019" t="s">
        <v>1473</v>
      </c>
      <c r="C1019" t="s">
        <v>271</v>
      </c>
      <c r="D1019" s="85">
        <v>-58643653.969999999</v>
      </c>
      <c r="E1019" s="85">
        <v>18113941.370000001</v>
      </c>
      <c r="F1019" s="85">
        <v>22822649.449999999</v>
      </c>
      <c r="G1019" s="85">
        <v>-63352362.049999997</v>
      </c>
    </row>
    <row r="1020" spans="1:9" x14ac:dyDescent="0.25">
      <c r="A1020" t="s">
        <v>1474</v>
      </c>
      <c r="B1020" t="s">
        <v>1475</v>
      </c>
      <c r="C1020" t="s">
        <v>271</v>
      </c>
      <c r="D1020" s="85">
        <v>-105248100.87</v>
      </c>
      <c r="E1020" s="85">
        <v>5225750.78</v>
      </c>
      <c r="F1020" s="85">
        <v>18996411.829999998</v>
      </c>
      <c r="G1020" s="85">
        <v>-119018761.92</v>
      </c>
    </row>
    <row r="1021" spans="1:9" x14ac:dyDescent="0.25">
      <c r="A1021" t="s">
        <v>1476</v>
      </c>
      <c r="B1021" t="s">
        <v>581</v>
      </c>
      <c r="C1021" t="s">
        <v>271</v>
      </c>
      <c r="D1021" s="85">
        <v>-51681074.609999999</v>
      </c>
      <c r="E1021" s="85">
        <v>616839.13</v>
      </c>
      <c r="F1021" s="85">
        <v>5405943.9400000004</v>
      </c>
      <c r="G1021" s="85">
        <v>-56470179.420000002</v>
      </c>
    </row>
    <row r="1022" spans="1:9" x14ac:dyDescent="0.25">
      <c r="A1022" t="s">
        <v>1477</v>
      </c>
      <c r="B1022" t="s">
        <v>1478</v>
      </c>
      <c r="C1022" t="s">
        <v>271</v>
      </c>
      <c r="D1022" s="85">
        <v>-57951518.799999997</v>
      </c>
      <c r="E1022" s="85">
        <v>0</v>
      </c>
      <c r="F1022" s="85">
        <v>5405943.9199999999</v>
      </c>
      <c r="G1022" s="85">
        <v>-63357462.719999999</v>
      </c>
    </row>
    <row r="1023" spans="1:9" x14ac:dyDescent="0.25">
      <c r="A1023" t="s">
        <v>1479</v>
      </c>
      <c r="B1023" t="s">
        <v>1480</v>
      </c>
      <c r="C1023" t="s">
        <v>271</v>
      </c>
      <c r="D1023" s="85">
        <v>-57951518.799999997</v>
      </c>
      <c r="E1023" s="85">
        <v>0</v>
      </c>
      <c r="F1023" s="85">
        <v>5405943.9199999999</v>
      </c>
      <c r="G1023" s="85">
        <v>-63357462.719999999</v>
      </c>
    </row>
    <row r="1024" spans="1:9" s="327" customFormat="1" x14ac:dyDescent="0.25">
      <c r="A1024" s="327" t="s">
        <v>1481</v>
      </c>
      <c r="B1024" s="327" t="s">
        <v>1482</v>
      </c>
      <c r="C1024" s="327" t="s">
        <v>283</v>
      </c>
      <c r="D1024" s="328">
        <v>-5105905.8600000003</v>
      </c>
      <c r="E1024" s="328">
        <v>0</v>
      </c>
      <c r="F1024" s="328">
        <v>509134.62</v>
      </c>
      <c r="G1024" s="328">
        <v>-5615040.4800000004</v>
      </c>
    </row>
    <row r="1025" spans="1:7" x14ac:dyDescent="0.25">
      <c r="A1025" t="s">
        <v>1483</v>
      </c>
      <c r="B1025" t="s">
        <v>586</v>
      </c>
      <c r="C1025" t="s">
        <v>271</v>
      </c>
      <c r="D1025" s="85">
        <v>-9303314.1400000006</v>
      </c>
      <c r="E1025" s="85">
        <v>0</v>
      </c>
      <c r="F1025" s="85">
        <v>715446.77</v>
      </c>
      <c r="G1025" s="85">
        <v>-10018760.91</v>
      </c>
    </row>
    <row r="1026" spans="1:7" s="327" customFormat="1" x14ac:dyDescent="0.25">
      <c r="A1026" s="327" t="s">
        <v>1484</v>
      </c>
      <c r="B1026" s="327" t="s">
        <v>1485</v>
      </c>
      <c r="C1026" s="327" t="s">
        <v>283</v>
      </c>
      <c r="D1026" s="328">
        <v>-9303314.1400000006</v>
      </c>
      <c r="E1026" s="328">
        <v>0</v>
      </c>
      <c r="F1026" s="328">
        <v>715446.77</v>
      </c>
      <c r="G1026" s="328">
        <v>-10018760.91</v>
      </c>
    </row>
    <row r="1027" spans="1:7" x14ac:dyDescent="0.25">
      <c r="A1027" t="s">
        <v>1486</v>
      </c>
      <c r="B1027" t="s">
        <v>302</v>
      </c>
      <c r="C1027" t="s">
        <v>271</v>
      </c>
      <c r="D1027" s="85">
        <v>-43542298.799999997</v>
      </c>
      <c r="E1027" s="85">
        <v>0</v>
      </c>
      <c r="F1027" s="85">
        <v>4181362.53</v>
      </c>
      <c r="G1027" s="85">
        <v>-47723661.329999998</v>
      </c>
    </row>
    <row r="1028" spans="1:7" s="327" customFormat="1" x14ac:dyDescent="0.25">
      <c r="A1028" s="327" t="s">
        <v>1487</v>
      </c>
      <c r="B1028" s="327" t="s">
        <v>1488</v>
      </c>
      <c r="C1028" s="327" t="s">
        <v>283</v>
      </c>
      <c r="D1028" s="328">
        <v>-43542298.799999997</v>
      </c>
      <c r="E1028" s="328">
        <v>0</v>
      </c>
      <c r="F1028" s="328">
        <v>4181362.53</v>
      </c>
      <c r="G1028" s="328">
        <v>-47723661.329999998</v>
      </c>
    </row>
    <row r="1029" spans="1:7" x14ac:dyDescent="0.25">
      <c r="A1029" t="s">
        <v>1489</v>
      </c>
      <c r="B1029" t="s">
        <v>1490</v>
      </c>
      <c r="C1029" t="s">
        <v>271</v>
      </c>
      <c r="D1029" s="85">
        <v>5388557.5899999999</v>
      </c>
      <c r="E1029" s="85">
        <v>502391.68</v>
      </c>
      <c r="F1029" s="85">
        <v>0</v>
      </c>
      <c r="G1029" s="85">
        <v>5890949.2699999996</v>
      </c>
    </row>
    <row r="1030" spans="1:7" x14ac:dyDescent="0.25">
      <c r="A1030" t="s">
        <v>1491</v>
      </c>
      <c r="B1030" t="s">
        <v>445</v>
      </c>
      <c r="C1030" t="s">
        <v>271</v>
      </c>
      <c r="D1030" s="85">
        <v>955690.21</v>
      </c>
      <c r="E1030" s="85">
        <v>89163.13</v>
      </c>
      <c r="F1030" s="85">
        <v>0</v>
      </c>
      <c r="G1030" s="85">
        <v>1044853.34</v>
      </c>
    </row>
    <row r="1031" spans="1:7" x14ac:dyDescent="0.25">
      <c r="A1031" t="s">
        <v>1492</v>
      </c>
      <c r="B1031" t="s">
        <v>586</v>
      </c>
      <c r="C1031" t="s">
        <v>271</v>
      </c>
      <c r="D1031" s="85">
        <v>153504.68</v>
      </c>
      <c r="E1031" s="85">
        <v>11811.8</v>
      </c>
      <c r="F1031" s="85">
        <v>0</v>
      </c>
      <c r="G1031" s="85">
        <v>165316.48000000001</v>
      </c>
    </row>
    <row r="1032" spans="1:7" x14ac:dyDescent="0.25">
      <c r="A1032" t="s">
        <v>1493</v>
      </c>
      <c r="B1032" t="s">
        <v>445</v>
      </c>
      <c r="C1032" t="s">
        <v>283</v>
      </c>
      <c r="D1032" s="85">
        <v>153504.68</v>
      </c>
      <c r="E1032" s="85">
        <v>11811.8</v>
      </c>
      <c r="F1032" s="85">
        <v>0</v>
      </c>
      <c r="G1032" s="85">
        <v>165316.48000000001</v>
      </c>
    </row>
    <row r="1033" spans="1:7" x14ac:dyDescent="0.25">
      <c r="A1033" t="s">
        <v>1494</v>
      </c>
      <c r="B1033" t="s">
        <v>1495</v>
      </c>
      <c r="C1033" t="s">
        <v>271</v>
      </c>
      <c r="D1033" s="85">
        <v>718447.94</v>
      </c>
      <c r="E1033" s="85">
        <v>68992.479999999996</v>
      </c>
      <c r="F1033" s="85">
        <v>0</v>
      </c>
      <c r="G1033" s="85">
        <v>787440.42</v>
      </c>
    </row>
    <row r="1034" spans="1:7" x14ac:dyDescent="0.25">
      <c r="A1034" t="s">
        <v>1496</v>
      </c>
      <c r="B1034" t="s">
        <v>445</v>
      </c>
      <c r="C1034" t="s">
        <v>283</v>
      </c>
      <c r="D1034" s="85">
        <v>718447.94</v>
      </c>
      <c r="E1034" s="85">
        <v>68992.479999999996</v>
      </c>
      <c r="F1034" s="85">
        <v>0</v>
      </c>
      <c r="G1034" s="85">
        <v>787440.42</v>
      </c>
    </row>
    <row r="1035" spans="1:7" x14ac:dyDescent="0.25">
      <c r="A1035" t="s">
        <v>1497</v>
      </c>
      <c r="B1035" t="s">
        <v>706</v>
      </c>
      <c r="C1035" t="s">
        <v>271</v>
      </c>
      <c r="D1035" s="85">
        <v>83737.59</v>
      </c>
      <c r="E1035" s="85">
        <v>8358.85</v>
      </c>
      <c r="F1035" s="85">
        <v>0</v>
      </c>
      <c r="G1035" s="85">
        <v>92096.44</v>
      </c>
    </row>
    <row r="1036" spans="1:7" x14ac:dyDescent="0.25">
      <c r="A1036" t="s">
        <v>1498</v>
      </c>
      <c r="B1036" t="s">
        <v>445</v>
      </c>
      <c r="C1036" t="s">
        <v>283</v>
      </c>
      <c r="D1036" s="85">
        <v>83737.59</v>
      </c>
      <c r="E1036" s="85">
        <v>8358.85</v>
      </c>
      <c r="F1036" s="85">
        <v>0</v>
      </c>
      <c r="G1036" s="85">
        <v>92096.44</v>
      </c>
    </row>
    <row r="1037" spans="1:7" x14ac:dyDescent="0.25">
      <c r="A1037" t="s">
        <v>1499</v>
      </c>
      <c r="B1037" t="s">
        <v>216</v>
      </c>
      <c r="C1037" t="s">
        <v>271</v>
      </c>
      <c r="D1037" s="85">
        <v>4401966.97</v>
      </c>
      <c r="E1037" s="85">
        <v>410690.77</v>
      </c>
      <c r="F1037" s="85">
        <v>0</v>
      </c>
      <c r="G1037" s="85">
        <v>4812657.74</v>
      </c>
    </row>
    <row r="1038" spans="1:7" x14ac:dyDescent="0.25">
      <c r="A1038" t="s">
        <v>1500</v>
      </c>
      <c r="B1038" t="s">
        <v>586</v>
      </c>
      <c r="C1038" t="s">
        <v>271</v>
      </c>
      <c r="D1038" s="85">
        <v>707051.85</v>
      </c>
      <c r="E1038" s="85">
        <v>54405.86</v>
      </c>
      <c r="F1038" s="85">
        <v>0</v>
      </c>
      <c r="G1038" s="85">
        <v>761457.71</v>
      </c>
    </row>
    <row r="1039" spans="1:7" x14ac:dyDescent="0.25">
      <c r="A1039" t="s">
        <v>1501</v>
      </c>
      <c r="B1039" t="s">
        <v>216</v>
      </c>
      <c r="C1039" t="s">
        <v>283</v>
      </c>
      <c r="D1039" s="85">
        <v>707051.85</v>
      </c>
      <c r="E1039" s="85">
        <v>54405.86</v>
      </c>
      <c r="F1039" s="85">
        <v>0</v>
      </c>
      <c r="G1039" s="85">
        <v>761457.71</v>
      </c>
    </row>
    <row r="1040" spans="1:7" x14ac:dyDescent="0.25">
      <c r="A1040" t="s">
        <v>1502</v>
      </c>
      <c r="B1040" t="s">
        <v>1495</v>
      </c>
      <c r="C1040" t="s">
        <v>271</v>
      </c>
      <c r="D1040" s="85">
        <v>3309214.71</v>
      </c>
      <c r="E1040" s="85">
        <v>317783.55</v>
      </c>
      <c r="F1040" s="85">
        <v>0</v>
      </c>
      <c r="G1040" s="85">
        <v>3626998.26</v>
      </c>
    </row>
    <row r="1041" spans="1:7" x14ac:dyDescent="0.25">
      <c r="A1041" t="s">
        <v>1503</v>
      </c>
      <c r="B1041" t="s">
        <v>216</v>
      </c>
      <c r="C1041" t="s">
        <v>283</v>
      </c>
      <c r="D1041" s="85">
        <v>3309214.71</v>
      </c>
      <c r="E1041" s="85">
        <v>317783.55</v>
      </c>
      <c r="F1041" s="85">
        <v>0</v>
      </c>
      <c r="G1041" s="85">
        <v>3626998.26</v>
      </c>
    </row>
    <row r="1042" spans="1:7" x14ac:dyDescent="0.25">
      <c r="A1042" t="s">
        <v>1504</v>
      </c>
      <c r="B1042" t="s">
        <v>706</v>
      </c>
      <c r="C1042" t="s">
        <v>271</v>
      </c>
      <c r="D1042" s="85">
        <v>385700.41</v>
      </c>
      <c r="E1042" s="85">
        <v>38501.360000000001</v>
      </c>
      <c r="F1042" s="85">
        <v>0</v>
      </c>
      <c r="G1042" s="85">
        <v>424201.77</v>
      </c>
    </row>
    <row r="1043" spans="1:7" x14ac:dyDescent="0.25">
      <c r="A1043" t="s">
        <v>1505</v>
      </c>
      <c r="B1043" t="s">
        <v>216</v>
      </c>
      <c r="C1043" t="s">
        <v>283</v>
      </c>
      <c r="D1043" s="85">
        <v>385700.41</v>
      </c>
      <c r="E1043" s="85">
        <v>38501.360000000001</v>
      </c>
      <c r="F1043" s="85">
        <v>0</v>
      </c>
      <c r="G1043" s="85">
        <v>424201.77</v>
      </c>
    </row>
    <row r="1044" spans="1:7" x14ac:dyDescent="0.25">
      <c r="A1044" t="s">
        <v>2479</v>
      </c>
      <c r="B1044" t="s">
        <v>1065</v>
      </c>
      <c r="C1044" t="s">
        <v>271</v>
      </c>
      <c r="D1044" s="85">
        <v>30900.41</v>
      </c>
      <c r="E1044" s="85">
        <v>2537.7800000000002</v>
      </c>
      <c r="F1044" s="85">
        <v>0</v>
      </c>
      <c r="G1044" s="85">
        <v>33438.19</v>
      </c>
    </row>
    <row r="1045" spans="1:7" x14ac:dyDescent="0.25">
      <c r="A1045" t="s">
        <v>2480</v>
      </c>
      <c r="B1045" t="s">
        <v>2481</v>
      </c>
      <c r="C1045" t="s">
        <v>283</v>
      </c>
      <c r="D1045" s="85">
        <v>30900.41</v>
      </c>
      <c r="E1045" s="85">
        <v>2537.7800000000002</v>
      </c>
      <c r="F1045" s="85">
        <v>0</v>
      </c>
      <c r="G1045" s="85">
        <v>33438.19</v>
      </c>
    </row>
    <row r="1046" spans="1:7" x14ac:dyDescent="0.25">
      <c r="A1046" t="s">
        <v>1506</v>
      </c>
      <c r="B1046" t="s">
        <v>1507</v>
      </c>
      <c r="C1046" t="s">
        <v>271</v>
      </c>
      <c r="D1046" s="85">
        <v>881886.6</v>
      </c>
      <c r="E1046" s="85">
        <v>114447.45</v>
      </c>
      <c r="F1046" s="85">
        <v>0.02</v>
      </c>
      <c r="G1046" s="85">
        <v>996334.03</v>
      </c>
    </row>
    <row r="1047" spans="1:7" x14ac:dyDescent="0.25">
      <c r="A1047" t="s">
        <v>1508</v>
      </c>
      <c r="B1047" t="s">
        <v>1122</v>
      </c>
      <c r="C1047" t="s">
        <v>271</v>
      </c>
      <c r="D1047" s="85">
        <v>432088.57</v>
      </c>
      <c r="E1047" s="85">
        <v>41631.5</v>
      </c>
      <c r="F1047" s="85">
        <v>0</v>
      </c>
      <c r="G1047" s="85">
        <v>473720.07</v>
      </c>
    </row>
    <row r="1048" spans="1:7" x14ac:dyDescent="0.25">
      <c r="A1048" t="s">
        <v>1509</v>
      </c>
      <c r="B1048" t="s">
        <v>302</v>
      </c>
      <c r="C1048" t="s">
        <v>271</v>
      </c>
      <c r="D1048" s="85">
        <v>386690</v>
      </c>
      <c r="E1048" s="85">
        <v>37098.300000000003</v>
      </c>
      <c r="F1048" s="85">
        <v>0</v>
      </c>
      <c r="G1048" s="85">
        <v>423788.3</v>
      </c>
    </row>
    <row r="1049" spans="1:7" x14ac:dyDescent="0.25">
      <c r="A1049" t="s">
        <v>1510</v>
      </c>
      <c r="B1049" t="s">
        <v>1511</v>
      </c>
      <c r="C1049" t="s">
        <v>283</v>
      </c>
      <c r="D1049" s="85">
        <v>386690</v>
      </c>
      <c r="E1049" s="85">
        <v>37098.300000000003</v>
      </c>
      <c r="F1049" s="85">
        <v>0</v>
      </c>
      <c r="G1049" s="85">
        <v>423788.3</v>
      </c>
    </row>
    <row r="1050" spans="1:7" x14ac:dyDescent="0.25">
      <c r="A1050" t="s">
        <v>1512</v>
      </c>
      <c r="B1050" t="s">
        <v>591</v>
      </c>
      <c r="C1050" t="s">
        <v>271</v>
      </c>
      <c r="D1050" s="85">
        <v>45398.57</v>
      </c>
      <c r="E1050" s="85">
        <v>4533.2</v>
      </c>
      <c r="F1050" s="85">
        <v>0</v>
      </c>
      <c r="G1050" s="85">
        <v>49931.77</v>
      </c>
    </row>
    <row r="1051" spans="1:7" x14ac:dyDescent="0.25">
      <c r="A1051" t="s">
        <v>1513</v>
      </c>
      <c r="B1051" t="s">
        <v>1147</v>
      </c>
      <c r="C1051" t="s">
        <v>283</v>
      </c>
      <c r="D1051" s="85">
        <v>45398.57</v>
      </c>
      <c r="E1051" s="85">
        <v>4533.2</v>
      </c>
      <c r="F1051" s="85">
        <v>0</v>
      </c>
      <c r="G1051" s="85">
        <v>49931.77</v>
      </c>
    </row>
    <row r="1052" spans="1:7" x14ac:dyDescent="0.25">
      <c r="A1052" t="s">
        <v>1514</v>
      </c>
      <c r="B1052" t="s">
        <v>1149</v>
      </c>
      <c r="C1052" t="s">
        <v>271</v>
      </c>
      <c r="D1052" s="85">
        <v>146995.46</v>
      </c>
      <c r="E1052" s="85">
        <v>13420.57</v>
      </c>
      <c r="F1052" s="85">
        <v>0</v>
      </c>
      <c r="G1052" s="85">
        <v>160416.03</v>
      </c>
    </row>
    <row r="1053" spans="1:7" x14ac:dyDescent="0.25">
      <c r="A1053" t="s">
        <v>1515</v>
      </c>
      <c r="B1053" t="s">
        <v>586</v>
      </c>
      <c r="C1053" t="s">
        <v>271</v>
      </c>
      <c r="D1053" s="85">
        <v>21880.5</v>
      </c>
      <c r="E1053" s="85">
        <v>1988.3</v>
      </c>
      <c r="F1053" s="85">
        <v>0</v>
      </c>
      <c r="G1053" s="85">
        <v>23868.799999999999</v>
      </c>
    </row>
    <row r="1054" spans="1:7" x14ac:dyDescent="0.25">
      <c r="A1054" t="s">
        <v>1516</v>
      </c>
      <c r="B1054" t="s">
        <v>1517</v>
      </c>
      <c r="C1054" t="s">
        <v>283</v>
      </c>
      <c r="D1054" s="85">
        <v>21880.5</v>
      </c>
      <c r="E1054" s="85">
        <v>1988.3</v>
      </c>
      <c r="F1054" s="85">
        <v>0</v>
      </c>
      <c r="G1054" s="85">
        <v>23868.799999999999</v>
      </c>
    </row>
    <row r="1055" spans="1:7" x14ac:dyDescent="0.25">
      <c r="A1055" t="s">
        <v>1518</v>
      </c>
      <c r="B1055" t="s">
        <v>302</v>
      </c>
      <c r="C1055" t="s">
        <v>271</v>
      </c>
      <c r="D1055" s="85">
        <v>107612.34</v>
      </c>
      <c r="E1055" s="85">
        <v>9782.94</v>
      </c>
      <c r="F1055" s="85">
        <v>0</v>
      </c>
      <c r="G1055" s="85">
        <v>117395.28</v>
      </c>
    </row>
    <row r="1056" spans="1:7" x14ac:dyDescent="0.25">
      <c r="A1056" t="s">
        <v>1519</v>
      </c>
      <c r="B1056" t="s">
        <v>1520</v>
      </c>
      <c r="C1056" t="s">
        <v>283</v>
      </c>
      <c r="D1056" s="85">
        <v>107612.34</v>
      </c>
      <c r="E1056" s="85">
        <v>9782.94</v>
      </c>
      <c r="F1056" s="85">
        <v>0</v>
      </c>
      <c r="G1056" s="85">
        <v>117395.28</v>
      </c>
    </row>
    <row r="1057" spans="1:7" x14ac:dyDescent="0.25">
      <c r="A1057" t="s">
        <v>1521</v>
      </c>
      <c r="B1057" t="s">
        <v>1522</v>
      </c>
      <c r="C1057" t="s">
        <v>271</v>
      </c>
      <c r="D1057" s="85">
        <v>17502.62</v>
      </c>
      <c r="E1057" s="85">
        <v>1649.33</v>
      </c>
      <c r="F1057" s="85">
        <v>0</v>
      </c>
      <c r="G1057" s="85">
        <v>19151.95</v>
      </c>
    </row>
    <row r="1058" spans="1:7" x14ac:dyDescent="0.25">
      <c r="A1058" t="s">
        <v>1523</v>
      </c>
      <c r="B1058" t="s">
        <v>1153</v>
      </c>
      <c r="C1058" t="s">
        <v>283</v>
      </c>
      <c r="D1058" s="85">
        <v>17502.62</v>
      </c>
      <c r="E1058" s="85">
        <v>1649.33</v>
      </c>
      <c r="F1058" s="85">
        <v>0</v>
      </c>
      <c r="G1058" s="85">
        <v>19151.95</v>
      </c>
    </row>
    <row r="1059" spans="1:7" x14ac:dyDescent="0.25">
      <c r="A1059" t="s">
        <v>1524</v>
      </c>
      <c r="B1059" t="s">
        <v>1161</v>
      </c>
      <c r="C1059" t="s">
        <v>271</v>
      </c>
      <c r="D1059" s="85">
        <v>302802.57</v>
      </c>
      <c r="E1059" s="85">
        <v>59395.38</v>
      </c>
      <c r="F1059" s="85">
        <v>0.02</v>
      </c>
      <c r="G1059" s="85">
        <v>362197.93</v>
      </c>
    </row>
    <row r="1060" spans="1:7" x14ac:dyDescent="0.25">
      <c r="A1060" t="s">
        <v>1525</v>
      </c>
      <c r="B1060" t="s">
        <v>302</v>
      </c>
      <c r="C1060" t="s">
        <v>271</v>
      </c>
      <c r="D1060" s="85">
        <v>302802.57</v>
      </c>
      <c r="E1060" s="85">
        <v>59395.38</v>
      </c>
      <c r="F1060" s="85">
        <v>0.02</v>
      </c>
      <c r="G1060" s="85">
        <v>362197.93</v>
      </c>
    </row>
    <row r="1061" spans="1:7" x14ac:dyDescent="0.25">
      <c r="A1061" t="s">
        <v>1526</v>
      </c>
      <c r="B1061" t="s">
        <v>1527</v>
      </c>
      <c r="C1061" t="s">
        <v>283</v>
      </c>
      <c r="D1061" s="85">
        <v>302802.57</v>
      </c>
      <c r="E1061" s="85">
        <v>59395.38</v>
      </c>
      <c r="F1061" s="85">
        <v>0.02</v>
      </c>
      <c r="G1061" s="85">
        <v>362197.93</v>
      </c>
    </row>
    <row r="1062" spans="1:7" x14ac:dyDescent="0.25">
      <c r="A1062" t="s">
        <v>1528</v>
      </c>
      <c r="B1062" t="s">
        <v>1529</v>
      </c>
      <c r="C1062" t="s">
        <v>271</v>
      </c>
      <c r="D1062" s="85">
        <v>-53567026.259999998</v>
      </c>
      <c r="E1062" s="85">
        <v>4608911.6500000004</v>
      </c>
      <c r="F1062" s="85">
        <v>13590467.890000001</v>
      </c>
      <c r="G1062" s="85">
        <v>-62548582.5</v>
      </c>
    </row>
    <row r="1063" spans="1:7" x14ac:dyDescent="0.25">
      <c r="A1063" t="s">
        <v>1530</v>
      </c>
      <c r="B1063" t="s">
        <v>1478</v>
      </c>
      <c r="C1063" t="s">
        <v>271</v>
      </c>
      <c r="D1063" s="85">
        <v>-59791021.219999999</v>
      </c>
      <c r="E1063" s="85">
        <v>3848710.39</v>
      </c>
      <c r="F1063" s="85">
        <v>13590467.890000001</v>
      </c>
      <c r="G1063" s="85">
        <v>-69532778.719999999</v>
      </c>
    </row>
    <row r="1064" spans="1:7" x14ac:dyDescent="0.25">
      <c r="A1064" t="s">
        <v>1531</v>
      </c>
      <c r="B1064" t="s">
        <v>1532</v>
      </c>
      <c r="C1064" t="s">
        <v>271</v>
      </c>
      <c r="D1064" s="85">
        <v>-28556250.960000001</v>
      </c>
      <c r="E1064" s="85">
        <v>0</v>
      </c>
      <c r="F1064" s="85">
        <v>2587589.77</v>
      </c>
      <c r="G1064" s="85">
        <v>-31143840.73</v>
      </c>
    </row>
    <row r="1065" spans="1:7" x14ac:dyDescent="0.25">
      <c r="A1065" t="s">
        <v>1533</v>
      </c>
      <c r="B1065" t="s">
        <v>1534</v>
      </c>
      <c r="C1065" t="s">
        <v>271</v>
      </c>
      <c r="D1065" s="85">
        <v>-28556250.960000001</v>
      </c>
      <c r="E1065" s="85">
        <v>0</v>
      </c>
      <c r="F1065" s="85">
        <v>2587589.77</v>
      </c>
      <c r="G1065" s="85">
        <v>-31143840.73</v>
      </c>
    </row>
    <row r="1066" spans="1:7" s="327" customFormat="1" x14ac:dyDescent="0.25">
      <c r="A1066" s="327" t="s">
        <v>1535</v>
      </c>
      <c r="B1066" s="327" t="s">
        <v>1536</v>
      </c>
      <c r="C1066" s="327" t="s">
        <v>283</v>
      </c>
      <c r="D1066" s="328">
        <v>-28556250.960000001</v>
      </c>
      <c r="E1066" s="328">
        <v>0</v>
      </c>
      <c r="F1066" s="328">
        <v>2587589.77</v>
      </c>
      <c r="G1066" s="328">
        <v>-31143840.73</v>
      </c>
    </row>
    <row r="1067" spans="1:7" x14ac:dyDescent="0.25">
      <c r="A1067" t="s">
        <v>1537</v>
      </c>
      <c r="B1067" t="s">
        <v>1538</v>
      </c>
      <c r="C1067" t="s">
        <v>271</v>
      </c>
      <c r="D1067" s="85">
        <v>-31234770.260000002</v>
      </c>
      <c r="E1067" s="85">
        <v>3848710.39</v>
      </c>
      <c r="F1067" s="85">
        <v>11002878.119999999</v>
      </c>
      <c r="G1067" s="85">
        <v>-38388937.990000002</v>
      </c>
    </row>
    <row r="1068" spans="1:7" s="327" customFormat="1" x14ac:dyDescent="0.25">
      <c r="A1068" s="327" t="s">
        <v>1539</v>
      </c>
      <c r="B1068" s="327" t="s">
        <v>1538</v>
      </c>
      <c r="C1068" s="327" t="s">
        <v>271</v>
      </c>
      <c r="D1068" s="328">
        <v>-8587825.1300000008</v>
      </c>
      <c r="E1068" s="328">
        <v>3848710.39</v>
      </c>
      <c r="F1068" s="328">
        <v>8300245.7300000004</v>
      </c>
      <c r="G1068" s="328">
        <v>-13039360.470000001</v>
      </c>
    </row>
    <row r="1069" spans="1:7" x14ac:dyDescent="0.25">
      <c r="A1069" t="s">
        <v>1540</v>
      </c>
      <c r="B1069" t="s">
        <v>1541</v>
      </c>
      <c r="C1069" t="s">
        <v>283</v>
      </c>
      <c r="D1069" s="85">
        <v>-976800.39</v>
      </c>
      <c r="E1069" s="85">
        <v>0</v>
      </c>
      <c r="F1069" s="85">
        <v>123172.02</v>
      </c>
      <c r="G1069" s="85">
        <v>-1099972.4099999999</v>
      </c>
    </row>
    <row r="1070" spans="1:7" x14ac:dyDescent="0.25">
      <c r="A1070" t="s">
        <v>2282</v>
      </c>
      <c r="B1070" t="s">
        <v>2283</v>
      </c>
      <c r="C1070" t="s">
        <v>283</v>
      </c>
      <c r="D1070" s="85">
        <v>-7611024.7400000002</v>
      </c>
      <c r="E1070" s="85">
        <v>3848710.39</v>
      </c>
      <c r="F1070" s="85">
        <v>7289482.6399999997</v>
      </c>
      <c r="G1070" s="85">
        <v>-11051796.99</v>
      </c>
    </row>
    <row r="1071" spans="1:7" x14ac:dyDescent="0.25">
      <c r="A1071" t="s">
        <v>2919</v>
      </c>
      <c r="B1071" t="s">
        <v>1988</v>
      </c>
      <c r="C1071" t="s">
        <v>283</v>
      </c>
      <c r="D1071" s="85">
        <v>0</v>
      </c>
      <c r="E1071" s="85">
        <v>0</v>
      </c>
      <c r="F1071" s="85">
        <v>887591.07</v>
      </c>
      <c r="G1071" s="85">
        <v>-887591.07</v>
      </c>
    </row>
    <row r="1072" spans="1:7" x14ac:dyDescent="0.25">
      <c r="A1072" t="s">
        <v>2366</v>
      </c>
      <c r="B1072" t="s">
        <v>1529</v>
      </c>
      <c r="C1072" t="s">
        <v>271</v>
      </c>
      <c r="D1072" s="85">
        <v>-22646945.129999999</v>
      </c>
      <c r="E1072" s="85">
        <v>0</v>
      </c>
      <c r="F1072" s="85">
        <v>2702632.39</v>
      </c>
      <c r="G1072" s="85">
        <v>-25349577.52</v>
      </c>
    </row>
    <row r="1073" spans="1:7" s="327" customFormat="1" x14ac:dyDescent="0.25">
      <c r="A1073" s="327" t="s">
        <v>2367</v>
      </c>
      <c r="B1073" s="327" t="s">
        <v>2368</v>
      </c>
      <c r="C1073" s="327" t="s">
        <v>283</v>
      </c>
      <c r="D1073" s="328">
        <v>-22646945.129999999</v>
      </c>
      <c r="E1073" s="328">
        <v>0</v>
      </c>
      <c r="F1073" s="328">
        <v>2702632.39</v>
      </c>
      <c r="G1073" s="328">
        <v>-25349577.52</v>
      </c>
    </row>
    <row r="1074" spans="1:7" x14ac:dyDescent="0.25">
      <c r="A1074" t="s">
        <v>1542</v>
      </c>
      <c r="B1074" t="s">
        <v>1490</v>
      </c>
      <c r="C1074" t="s">
        <v>271</v>
      </c>
      <c r="D1074" s="85">
        <v>6223994.96</v>
      </c>
      <c r="E1074" s="85">
        <v>760201.26</v>
      </c>
      <c r="F1074" s="85">
        <v>0</v>
      </c>
      <c r="G1074" s="85">
        <v>6984196.2199999997</v>
      </c>
    </row>
    <row r="1075" spans="1:7" x14ac:dyDescent="0.25">
      <c r="A1075" t="s">
        <v>1543</v>
      </c>
      <c r="B1075" t="s">
        <v>445</v>
      </c>
      <c r="C1075" t="s">
        <v>271</v>
      </c>
      <c r="D1075" s="85">
        <v>880963.61</v>
      </c>
      <c r="E1075" s="85">
        <v>114253.2</v>
      </c>
      <c r="F1075" s="85">
        <v>0</v>
      </c>
      <c r="G1075" s="85">
        <v>995216.81</v>
      </c>
    </row>
    <row r="1076" spans="1:7" x14ac:dyDescent="0.25">
      <c r="A1076" t="s">
        <v>1544</v>
      </c>
      <c r="B1076" t="s">
        <v>1534</v>
      </c>
      <c r="C1076" t="s">
        <v>271</v>
      </c>
      <c r="D1076" s="85">
        <v>512981.13</v>
      </c>
      <c r="E1076" s="85">
        <v>69939.94</v>
      </c>
      <c r="F1076" s="85">
        <v>0</v>
      </c>
      <c r="G1076" s="85">
        <v>582921.06999999995</v>
      </c>
    </row>
    <row r="1077" spans="1:7" x14ac:dyDescent="0.25">
      <c r="A1077" t="s">
        <v>1545</v>
      </c>
      <c r="B1077" t="s">
        <v>1546</v>
      </c>
      <c r="C1077" t="s">
        <v>283</v>
      </c>
      <c r="D1077" s="85">
        <v>512981.13</v>
      </c>
      <c r="E1077" s="85">
        <v>69939.94</v>
      </c>
      <c r="F1077" s="85">
        <v>0</v>
      </c>
      <c r="G1077" s="85">
        <v>582921.06999999995</v>
      </c>
    </row>
    <row r="1078" spans="1:7" x14ac:dyDescent="0.25">
      <c r="A1078" t="s">
        <v>2369</v>
      </c>
      <c r="B1078" t="s">
        <v>1529</v>
      </c>
      <c r="C1078" t="s">
        <v>271</v>
      </c>
      <c r="D1078" s="85">
        <v>367982.48</v>
      </c>
      <c r="E1078" s="85">
        <v>44313.26</v>
      </c>
      <c r="F1078" s="85">
        <v>0</v>
      </c>
      <c r="G1078" s="85">
        <v>412295.74</v>
      </c>
    </row>
    <row r="1079" spans="1:7" x14ac:dyDescent="0.25">
      <c r="A1079" t="s">
        <v>2370</v>
      </c>
      <c r="B1079" t="s">
        <v>2371</v>
      </c>
      <c r="C1079" t="s">
        <v>283</v>
      </c>
      <c r="D1079" s="85">
        <v>367982.48</v>
      </c>
      <c r="E1079" s="85">
        <v>44313.26</v>
      </c>
      <c r="F1079" s="85">
        <v>0</v>
      </c>
      <c r="G1079" s="85">
        <v>412295.74</v>
      </c>
    </row>
    <row r="1080" spans="1:7" x14ac:dyDescent="0.25">
      <c r="A1080" t="s">
        <v>1547</v>
      </c>
      <c r="B1080" t="s">
        <v>216</v>
      </c>
      <c r="C1080" t="s">
        <v>271</v>
      </c>
      <c r="D1080" s="85">
        <v>4058292.3</v>
      </c>
      <c r="E1080" s="85">
        <v>526526.93999999994</v>
      </c>
      <c r="F1080" s="85">
        <v>0</v>
      </c>
      <c r="G1080" s="85">
        <v>4584819.24</v>
      </c>
    </row>
    <row r="1081" spans="1:7" x14ac:dyDescent="0.25">
      <c r="A1081" t="s">
        <v>1548</v>
      </c>
      <c r="B1081" t="s">
        <v>1534</v>
      </c>
      <c r="C1081" t="s">
        <v>271</v>
      </c>
      <c r="D1081" s="85">
        <v>2363342.67</v>
      </c>
      <c r="E1081" s="85">
        <v>322417.38</v>
      </c>
      <c r="F1081" s="85">
        <v>0</v>
      </c>
      <c r="G1081" s="85">
        <v>2685760.05</v>
      </c>
    </row>
    <row r="1082" spans="1:7" x14ac:dyDescent="0.25">
      <c r="A1082" t="s">
        <v>1549</v>
      </c>
      <c r="B1082" t="s">
        <v>1550</v>
      </c>
      <c r="C1082" t="s">
        <v>283</v>
      </c>
      <c r="D1082" s="85">
        <v>2363342.67</v>
      </c>
      <c r="E1082" s="85">
        <v>322417.38</v>
      </c>
      <c r="F1082" s="85">
        <v>0</v>
      </c>
      <c r="G1082" s="85">
        <v>2685760.05</v>
      </c>
    </row>
    <row r="1083" spans="1:7" x14ac:dyDescent="0.25">
      <c r="A1083" t="s">
        <v>2372</v>
      </c>
      <c r="B1083" t="s">
        <v>1529</v>
      </c>
      <c r="C1083" t="s">
        <v>271</v>
      </c>
      <c r="D1083" s="85">
        <v>1694949.63</v>
      </c>
      <c r="E1083" s="85">
        <v>204109.56</v>
      </c>
      <c r="F1083" s="85">
        <v>0</v>
      </c>
      <c r="G1083" s="85">
        <v>1899059.19</v>
      </c>
    </row>
    <row r="1084" spans="1:7" x14ac:dyDescent="0.25">
      <c r="A1084" t="s">
        <v>2373</v>
      </c>
      <c r="B1084" t="s">
        <v>2374</v>
      </c>
      <c r="C1084" t="s">
        <v>283</v>
      </c>
      <c r="D1084" s="85">
        <v>1694949.63</v>
      </c>
      <c r="E1084" s="85">
        <v>204109.56</v>
      </c>
      <c r="F1084" s="85">
        <v>0</v>
      </c>
      <c r="G1084" s="85">
        <v>1899059.19</v>
      </c>
    </row>
    <row r="1085" spans="1:7" x14ac:dyDescent="0.25">
      <c r="A1085" t="s">
        <v>1551</v>
      </c>
      <c r="B1085" t="s">
        <v>1065</v>
      </c>
      <c r="C1085" t="s">
        <v>271</v>
      </c>
      <c r="D1085" s="85">
        <v>1284739.05</v>
      </c>
      <c r="E1085" s="85">
        <v>119421.12</v>
      </c>
      <c r="F1085" s="85">
        <v>0</v>
      </c>
      <c r="G1085" s="85">
        <v>1404160.17</v>
      </c>
    </row>
    <row r="1086" spans="1:7" x14ac:dyDescent="0.25">
      <c r="A1086" t="s">
        <v>1552</v>
      </c>
      <c r="B1086" t="s">
        <v>1529</v>
      </c>
      <c r="C1086" t="s">
        <v>271</v>
      </c>
      <c r="D1086" s="85">
        <v>1284739.05</v>
      </c>
      <c r="E1086" s="85">
        <v>119421.12</v>
      </c>
      <c r="F1086" s="85">
        <v>0</v>
      </c>
      <c r="G1086" s="85">
        <v>1404160.17</v>
      </c>
    </row>
    <row r="1087" spans="1:7" x14ac:dyDescent="0.25">
      <c r="A1087" t="s">
        <v>1553</v>
      </c>
      <c r="B1087" t="s">
        <v>1554</v>
      </c>
      <c r="C1087" t="s">
        <v>283</v>
      </c>
      <c r="D1087" s="85">
        <v>1284739.05</v>
      </c>
      <c r="E1087" s="85">
        <v>119421.12</v>
      </c>
      <c r="F1087" s="85">
        <v>0</v>
      </c>
      <c r="G1087" s="85">
        <v>1404160.17</v>
      </c>
    </row>
    <row r="1088" spans="1:7" x14ac:dyDescent="0.25">
      <c r="A1088" t="s">
        <v>1555</v>
      </c>
      <c r="B1088" t="s">
        <v>1556</v>
      </c>
      <c r="C1088" t="s">
        <v>271</v>
      </c>
      <c r="D1088" s="85">
        <v>50305054.009999998</v>
      </c>
      <c r="E1088" s="85">
        <v>12815346.689999999</v>
      </c>
      <c r="F1088" s="85">
        <v>3525763.33</v>
      </c>
      <c r="G1088" s="85">
        <v>59594637.369999997</v>
      </c>
    </row>
    <row r="1089" spans="1:7" x14ac:dyDescent="0.25">
      <c r="A1089" t="s">
        <v>1557</v>
      </c>
      <c r="B1089" t="s">
        <v>581</v>
      </c>
      <c r="C1089" t="s">
        <v>271</v>
      </c>
      <c r="D1089" s="85">
        <v>21778067.920000002</v>
      </c>
      <c r="E1089" s="85">
        <v>1269056.6499999999</v>
      </c>
      <c r="F1089" s="85">
        <v>39194.53</v>
      </c>
      <c r="G1089" s="85">
        <v>23007930.039999999</v>
      </c>
    </row>
    <row r="1090" spans="1:7" x14ac:dyDescent="0.25">
      <c r="A1090" t="s">
        <v>1558</v>
      </c>
      <c r="B1090" t="s">
        <v>1559</v>
      </c>
      <c r="C1090" t="s">
        <v>271</v>
      </c>
      <c r="D1090" s="85">
        <v>1637615.89</v>
      </c>
      <c r="E1090" s="85">
        <v>174387.08</v>
      </c>
      <c r="F1090" s="85">
        <v>11574.46</v>
      </c>
      <c r="G1090" s="85">
        <v>1800428.51</v>
      </c>
    </row>
    <row r="1091" spans="1:7" x14ac:dyDescent="0.25">
      <c r="A1091" t="s">
        <v>1560</v>
      </c>
      <c r="B1091" t="s">
        <v>1559</v>
      </c>
      <c r="C1091" t="s">
        <v>271</v>
      </c>
      <c r="D1091" s="85">
        <v>1792564.69</v>
      </c>
      <c r="E1091" s="85">
        <v>174387.08</v>
      </c>
      <c r="F1091" s="85">
        <v>0</v>
      </c>
      <c r="G1091" s="85">
        <v>1966951.77</v>
      </c>
    </row>
    <row r="1092" spans="1:7" x14ac:dyDescent="0.25">
      <c r="A1092" t="s">
        <v>2482</v>
      </c>
      <c r="B1092" t="s">
        <v>586</v>
      </c>
      <c r="C1092" t="s">
        <v>271</v>
      </c>
      <c r="D1092" s="85">
        <v>51730.53</v>
      </c>
      <c r="E1092" s="85">
        <v>4059.7</v>
      </c>
      <c r="F1092" s="85">
        <v>0</v>
      </c>
      <c r="G1092" s="85">
        <v>55790.23</v>
      </c>
    </row>
    <row r="1093" spans="1:7" x14ac:dyDescent="0.25">
      <c r="A1093" t="s">
        <v>2483</v>
      </c>
      <c r="B1093" t="s">
        <v>1563</v>
      </c>
      <c r="C1093" t="s">
        <v>283</v>
      </c>
      <c r="D1093" s="85">
        <v>51730.53</v>
      </c>
      <c r="E1093" s="85">
        <v>4059.7</v>
      </c>
      <c r="F1093" s="85">
        <v>0</v>
      </c>
      <c r="G1093" s="85">
        <v>55790.23</v>
      </c>
    </row>
    <row r="1094" spans="1:7" x14ac:dyDescent="0.25">
      <c r="A1094" t="s">
        <v>1561</v>
      </c>
      <c r="B1094" t="s">
        <v>302</v>
      </c>
      <c r="C1094" t="s">
        <v>271</v>
      </c>
      <c r="D1094" s="85">
        <v>1338376.42</v>
      </c>
      <c r="E1094" s="85">
        <v>134231.74</v>
      </c>
      <c r="F1094" s="85">
        <v>0</v>
      </c>
      <c r="G1094" s="85">
        <v>1472608.16</v>
      </c>
    </row>
    <row r="1095" spans="1:7" x14ac:dyDescent="0.25">
      <c r="A1095" t="s">
        <v>1562</v>
      </c>
      <c r="B1095" t="s">
        <v>1563</v>
      </c>
      <c r="C1095" t="s">
        <v>283</v>
      </c>
      <c r="D1095" s="85">
        <v>1338376.42</v>
      </c>
      <c r="E1095" s="85">
        <v>134231.74</v>
      </c>
      <c r="F1095" s="85">
        <v>0</v>
      </c>
      <c r="G1095" s="85">
        <v>1472608.16</v>
      </c>
    </row>
    <row r="1096" spans="1:7" x14ac:dyDescent="0.25">
      <c r="A1096" t="s">
        <v>1564</v>
      </c>
      <c r="B1096" t="s">
        <v>591</v>
      </c>
      <c r="C1096" t="s">
        <v>271</v>
      </c>
      <c r="D1096" s="85">
        <v>402457.74</v>
      </c>
      <c r="E1096" s="85">
        <v>36095.64</v>
      </c>
      <c r="F1096" s="85">
        <v>0</v>
      </c>
      <c r="G1096" s="85">
        <v>438553.38</v>
      </c>
    </row>
    <row r="1097" spans="1:7" x14ac:dyDescent="0.25">
      <c r="A1097" t="s">
        <v>2285</v>
      </c>
      <c r="B1097" t="s">
        <v>2286</v>
      </c>
      <c r="C1097" t="s">
        <v>283</v>
      </c>
      <c r="D1097" s="85">
        <v>402457.74</v>
      </c>
      <c r="E1097" s="85">
        <v>36095.64</v>
      </c>
      <c r="F1097" s="85">
        <v>0</v>
      </c>
      <c r="G1097" s="85">
        <v>438553.38</v>
      </c>
    </row>
    <row r="1098" spans="1:7" x14ac:dyDescent="0.25">
      <c r="A1098" t="s">
        <v>2920</v>
      </c>
      <c r="B1098" t="s">
        <v>2921</v>
      </c>
      <c r="C1098" t="s">
        <v>271</v>
      </c>
      <c r="D1098" s="85">
        <v>-154948.79999999999</v>
      </c>
      <c r="E1098" s="85">
        <v>0</v>
      </c>
      <c r="F1098" s="85">
        <v>11574.46</v>
      </c>
      <c r="G1098" s="85">
        <v>-166523.26</v>
      </c>
    </row>
    <row r="1099" spans="1:7" x14ac:dyDescent="0.25">
      <c r="A1099" t="s">
        <v>2922</v>
      </c>
      <c r="B1099" t="s">
        <v>586</v>
      </c>
      <c r="C1099" t="s">
        <v>271</v>
      </c>
      <c r="D1099" s="85">
        <v>-4433.16</v>
      </c>
      <c r="E1099" s="85">
        <v>0</v>
      </c>
      <c r="F1099" s="85">
        <v>269.45</v>
      </c>
      <c r="G1099" s="85">
        <v>-4702.6099999999997</v>
      </c>
    </row>
    <row r="1100" spans="1:7" x14ac:dyDescent="0.25">
      <c r="A1100" t="s">
        <v>2923</v>
      </c>
      <c r="B1100" t="s">
        <v>2284</v>
      </c>
      <c r="C1100" t="s">
        <v>283</v>
      </c>
      <c r="D1100" s="85">
        <v>-4433.16</v>
      </c>
      <c r="E1100" s="85">
        <v>0</v>
      </c>
      <c r="F1100" s="85">
        <v>269.45</v>
      </c>
      <c r="G1100" s="85">
        <v>-4702.6099999999997</v>
      </c>
    </row>
    <row r="1101" spans="1:7" x14ac:dyDescent="0.25">
      <c r="A1101" t="s">
        <v>2924</v>
      </c>
      <c r="B1101" t="s">
        <v>302</v>
      </c>
      <c r="C1101" t="s">
        <v>271</v>
      </c>
      <c r="D1101" s="85">
        <v>-115729.31</v>
      </c>
      <c r="E1101" s="85">
        <v>0</v>
      </c>
      <c r="F1101" s="85">
        <v>8909.26</v>
      </c>
      <c r="G1101" s="85">
        <v>-124638.57</v>
      </c>
    </row>
    <row r="1102" spans="1:7" x14ac:dyDescent="0.25">
      <c r="A1102" t="s">
        <v>2925</v>
      </c>
      <c r="B1102" t="s">
        <v>2284</v>
      </c>
      <c r="C1102" t="s">
        <v>283</v>
      </c>
      <c r="D1102" s="85">
        <v>-115729.31</v>
      </c>
      <c r="E1102" s="85">
        <v>0</v>
      </c>
      <c r="F1102" s="85">
        <v>8909.26</v>
      </c>
      <c r="G1102" s="85">
        <v>-124638.57</v>
      </c>
    </row>
    <row r="1103" spans="1:7" x14ac:dyDescent="0.25">
      <c r="A1103" t="s">
        <v>2926</v>
      </c>
      <c r="B1103" t="s">
        <v>591</v>
      </c>
      <c r="C1103" t="s">
        <v>271</v>
      </c>
      <c r="D1103" s="85">
        <v>-34786.33</v>
      </c>
      <c r="E1103" s="85">
        <v>0</v>
      </c>
      <c r="F1103" s="85">
        <v>2395.75</v>
      </c>
      <c r="G1103" s="85">
        <v>-37182.080000000002</v>
      </c>
    </row>
    <row r="1104" spans="1:7" x14ac:dyDescent="0.25">
      <c r="A1104" t="s">
        <v>2927</v>
      </c>
      <c r="B1104" t="s">
        <v>2284</v>
      </c>
      <c r="C1104" t="s">
        <v>283</v>
      </c>
      <c r="D1104" s="85">
        <v>-34786.33</v>
      </c>
      <c r="E1104" s="85">
        <v>0</v>
      </c>
      <c r="F1104" s="85">
        <v>2395.75</v>
      </c>
      <c r="G1104" s="85">
        <v>-37182.080000000002</v>
      </c>
    </row>
    <row r="1105" spans="1:7" x14ac:dyDescent="0.25">
      <c r="A1105" t="s">
        <v>1565</v>
      </c>
      <c r="B1105" t="s">
        <v>1566</v>
      </c>
      <c r="C1105" t="s">
        <v>271</v>
      </c>
      <c r="D1105" s="85">
        <v>2859781.46</v>
      </c>
      <c r="E1105" s="85">
        <v>267671.84000000003</v>
      </c>
      <c r="F1105" s="85">
        <v>5802.12</v>
      </c>
      <c r="G1105" s="85">
        <v>3121651.18</v>
      </c>
    </row>
    <row r="1106" spans="1:7" x14ac:dyDescent="0.25">
      <c r="A1106" t="s">
        <v>1567</v>
      </c>
      <c r="B1106" t="s">
        <v>1568</v>
      </c>
      <c r="C1106" t="s">
        <v>271</v>
      </c>
      <c r="D1106" s="85">
        <v>1689311.15</v>
      </c>
      <c r="E1106" s="85">
        <v>142326.29999999999</v>
      </c>
      <c r="F1106" s="85">
        <v>5802.08</v>
      </c>
      <c r="G1106" s="85">
        <v>1825835.37</v>
      </c>
    </row>
    <row r="1107" spans="1:7" x14ac:dyDescent="0.25">
      <c r="A1107" t="s">
        <v>1569</v>
      </c>
      <c r="B1107" t="s">
        <v>586</v>
      </c>
      <c r="C1107" t="s">
        <v>271</v>
      </c>
      <c r="D1107" s="85">
        <v>466727.84</v>
      </c>
      <c r="E1107" s="85">
        <v>46011.79</v>
      </c>
      <c r="F1107" s="85">
        <v>5802.08</v>
      </c>
      <c r="G1107" s="85">
        <v>506937.55</v>
      </c>
    </row>
    <row r="1108" spans="1:7" x14ac:dyDescent="0.25">
      <c r="A1108" t="s">
        <v>1570</v>
      </c>
      <c r="B1108" t="s">
        <v>1571</v>
      </c>
      <c r="C1108" t="s">
        <v>283</v>
      </c>
      <c r="D1108" s="85">
        <v>338516.9</v>
      </c>
      <c r="E1108" s="85">
        <v>34211.57</v>
      </c>
      <c r="F1108" s="85">
        <v>5802.08</v>
      </c>
      <c r="G1108" s="85">
        <v>366926.39</v>
      </c>
    </row>
    <row r="1109" spans="1:7" x14ac:dyDescent="0.25">
      <c r="A1109" t="s">
        <v>1572</v>
      </c>
      <c r="B1109" t="s">
        <v>1573</v>
      </c>
      <c r="C1109" t="s">
        <v>283</v>
      </c>
      <c r="D1109" s="85">
        <v>51729.34</v>
      </c>
      <c r="E1109" s="85">
        <v>2234.75</v>
      </c>
      <c r="F1109" s="85">
        <v>0</v>
      </c>
      <c r="G1109" s="85">
        <v>53964.09</v>
      </c>
    </row>
    <row r="1110" spans="1:7" x14ac:dyDescent="0.25">
      <c r="A1110" t="s">
        <v>1574</v>
      </c>
      <c r="B1110" t="s">
        <v>1575</v>
      </c>
      <c r="C1110" t="s">
        <v>283</v>
      </c>
      <c r="D1110" s="85">
        <v>12806.02</v>
      </c>
      <c r="E1110" s="85">
        <v>610.08000000000004</v>
      </c>
      <c r="F1110" s="85">
        <v>0</v>
      </c>
      <c r="G1110" s="85">
        <v>13416.1</v>
      </c>
    </row>
    <row r="1111" spans="1:7" x14ac:dyDescent="0.25">
      <c r="A1111" t="s">
        <v>1576</v>
      </c>
      <c r="B1111" t="s">
        <v>1577</v>
      </c>
      <c r="C1111" t="s">
        <v>283</v>
      </c>
      <c r="D1111" s="85">
        <v>3797.26</v>
      </c>
      <c r="E1111" s="85">
        <v>178.78</v>
      </c>
      <c r="F1111" s="85">
        <v>0</v>
      </c>
      <c r="G1111" s="85">
        <v>3976.04</v>
      </c>
    </row>
    <row r="1112" spans="1:7" x14ac:dyDescent="0.25">
      <c r="A1112" t="s">
        <v>1578</v>
      </c>
      <c r="B1112" t="s">
        <v>1579</v>
      </c>
      <c r="C1112" t="s">
        <v>283</v>
      </c>
      <c r="D1112" s="85">
        <v>32483.21</v>
      </c>
      <c r="E1112" s="85">
        <v>2873.04</v>
      </c>
      <c r="F1112" s="85">
        <v>0</v>
      </c>
      <c r="G1112" s="85">
        <v>35356.25</v>
      </c>
    </row>
    <row r="1113" spans="1:7" x14ac:dyDescent="0.25">
      <c r="A1113" t="s">
        <v>1580</v>
      </c>
      <c r="B1113" t="s">
        <v>1581</v>
      </c>
      <c r="C1113" t="s">
        <v>283</v>
      </c>
      <c r="D1113" s="85">
        <v>8867.93</v>
      </c>
      <c r="E1113" s="85">
        <v>784.31</v>
      </c>
      <c r="F1113" s="85">
        <v>0</v>
      </c>
      <c r="G1113" s="85">
        <v>9652.24</v>
      </c>
    </row>
    <row r="1114" spans="1:7" x14ac:dyDescent="0.25">
      <c r="A1114" t="s">
        <v>1582</v>
      </c>
      <c r="B1114" t="s">
        <v>1583</v>
      </c>
      <c r="C1114" t="s">
        <v>283</v>
      </c>
      <c r="D1114" s="85">
        <v>2598.63</v>
      </c>
      <c r="E1114" s="85">
        <v>229.83</v>
      </c>
      <c r="F1114" s="85">
        <v>0</v>
      </c>
      <c r="G1114" s="85">
        <v>2828.46</v>
      </c>
    </row>
    <row r="1115" spans="1:7" x14ac:dyDescent="0.25">
      <c r="A1115" t="s">
        <v>1584</v>
      </c>
      <c r="B1115" t="s">
        <v>1585</v>
      </c>
      <c r="C1115" t="s">
        <v>283</v>
      </c>
      <c r="D1115" s="85">
        <v>4611.1899999999996</v>
      </c>
      <c r="E1115" s="85">
        <v>244.9</v>
      </c>
      <c r="F1115" s="85">
        <v>0</v>
      </c>
      <c r="G1115" s="85">
        <v>4856.09</v>
      </c>
    </row>
    <row r="1116" spans="1:7" x14ac:dyDescent="0.25">
      <c r="A1116" t="s">
        <v>1586</v>
      </c>
      <c r="B1116" t="s">
        <v>1587</v>
      </c>
      <c r="C1116" t="s">
        <v>283</v>
      </c>
      <c r="D1116" s="85">
        <v>655.73</v>
      </c>
      <c r="E1116" s="85">
        <v>26.32</v>
      </c>
      <c r="F1116" s="85">
        <v>0</v>
      </c>
      <c r="G1116" s="85">
        <v>682.05</v>
      </c>
    </row>
    <row r="1117" spans="1:7" x14ac:dyDescent="0.25">
      <c r="A1117" t="s">
        <v>1588</v>
      </c>
      <c r="B1117" t="s">
        <v>1589</v>
      </c>
      <c r="C1117" t="s">
        <v>283</v>
      </c>
      <c r="D1117" s="85">
        <v>10661.63</v>
      </c>
      <c r="E1117" s="85">
        <v>4618.21</v>
      </c>
      <c r="F1117" s="85">
        <v>0</v>
      </c>
      <c r="G1117" s="85">
        <v>15279.84</v>
      </c>
    </row>
    <row r="1118" spans="1:7" x14ac:dyDescent="0.25">
      <c r="A1118" t="s">
        <v>1590</v>
      </c>
      <c r="B1118" t="s">
        <v>302</v>
      </c>
      <c r="C1118" t="s">
        <v>271</v>
      </c>
      <c r="D1118" s="85">
        <v>512937.95</v>
      </c>
      <c r="E1118" s="85">
        <v>34357</v>
      </c>
      <c r="F1118" s="85">
        <v>0</v>
      </c>
      <c r="G1118" s="85">
        <v>547294.94999999995</v>
      </c>
    </row>
    <row r="1119" spans="1:7" x14ac:dyDescent="0.25">
      <c r="A1119" t="s">
        <v>1591</v>
      </c>
      <c r="B1119" t="s">
        <v>1568</v>
      </c>
      <c r="C1119" t="s">
        <v>283</v>
      </c>
      <c r="D1119" s="85">
        <v>512937.95</v>
      </c>
      <c r="E1119" s="85">
        <v>34357</v>
      </c>
      <c r="F1119" s="85">
        <v>0</v>
      </c>
      <c r="G1119" s="85">
        <v>547294.94999999995</v>
      </c>
    </row>
    <row r="1120" spans="1:7" x14ac:dyDescent="0.25">
      <c r="A1120" t="s">
        <v>1592</v>
      </c>
      <c r="B1120" t="s">
        <v>591</v>
      </c>
      <c r="C1120" t="s">
        <v>271</v>
      </c>
      <c r="D1120" s="85">
        <v>709645.36</v>
      </c>
      <c r="E1120" s="85">
        <v>61957.51</v>
      </c>
      <c r="F1120" s="85">
        <v>0</v>
      </c>
      <c r="G1120" s="85">
        <v>771602.87</v>
      </c>
    </row>
    <row r="1121" spans="1:7" x14ac:dyDescent="0.25">
      <c r="A1121" t="s">
        <v>1593</v>
      </c>
      <c r="B1121" t="s">
        <v>1571</v>
      </c>
      <c r="C1121" t="s">
        <v>283</v>
      </c>
      <c r="D1121" s="85">
        <v>529986.34</v>
      </c>
      <c r="E1121" s="85">
        <v>43216.78</v>
      </c>
      <c r="F1121" s="85">
        <v>0</v>
      </c>
      <c r="G1121" s="85">
        <v>573203.12</v>
      </c>
    </row>
    <row r="1122" spans="1:7" x14ac:dyDescent="0.25">
      <c r="A1122" t="s">
        <v>1594</v>
      </c>
      <c r="B1122" t="s">
        <v>1595</v>
      </c>
      <c r="C1122" t="s">
        <v>283</v>
      </c>
      <c r="D1122" s="85">
        <v>72116.53</v>
      </c>
      <c r="E1122" s="85">
        <v>4975.68</v>
      </c>
      <c r="F1122" s="85">
        <v>0</v>
      </c>
      <c r="G1122" s="85">
        <v>77092.210000000006</v>
      </c>
    </row>
    <row r="1123" spans="1:7" x14ac:dyDescent="0.25">
      <c r="A1123" t="s">
        <v>1596</v>
      </c>
      <c r="B1123" t="s">
        <v>1597</v>
      </c>
      <c r="C1123" t="s">
        <v>283</v>
      </c>
      <c r="D1123" s="85">
        <v>14441.6</v>
      </c>
      <c r="E1123" s="85">
        <v>1018.09</v>
      </c>
      <c r="F1123" s="85">
        <v>0</v>
      </c>
      <c r="G1123" s="85">
        <v>15459.69</v>
      </c>
    </row>
    <row r="1124" spans="1:7" x14ac:dyDescent="0.25">
      <c r="A1124" t="s">
        <v>1598</v>
      </c>
      <c r="B1124" t="s">
        <v>1599</v>
      </c>
      <c r="C1124" t="s">
        <v>283</v>
      </c>
      <c r="D1124" s="85">
        <v>4344.22</v>
      </c>
      <c r="E1124" s="85">
        <v>298.32</v>
      </c>
      <c r="F1124" s="85">
        <v>0</v>
      </c>
      <c r="G1124" s="85">
        <v>4642.54</v>
      </c>
    </row>
    <row r="1125" spans="1:7" x14ac:dyDescent="0.25">
      <c r="A1125" t="s">
        <v>1600</v>
      </c>
      <c r="B1125" t="s">
        <v>1601</v>
      </c>
      <c r="C1125" t="s">
        <v>283</v>
      </c>
      <c r="D1125" s="85">
        <v>48088.77</v>
      </c>
      <c r="E1125" s="85">
        <v>4379.6499999999996</v>
      </c>
      <c r="F1125" s="85">
        <v>0</v>
      </c>
      <c r="G1125" s="85">
        <v>52468.42</v>
      </c>
    </row>
    <row r="1126" spans="1:7" x14ac:dyDescent="0.25">
      <c r="A1126" t="s">
        <v>1602</v>
      </c>
      <c r="B1126" t="s">
        <v>1603</v>
      </c>
      <c r="C1126" t="s">
        <v>283</v>
      </c>
      <c r="D1126" s="85">
        <v>13128.24</v>
      </c>
      <c r="E1126" s="85">
        <v>1195.6300000000001</v>
      </c>
      <c r="F1126" s="85">
        <v>0</v>
      </c>
      <c r="G1126" s="85">
        <v>14323.87</v>
      </c>
    </row>
    <row r="1127" spans="1:7" x14ac:dyDescent="0.25">
      <c r="A1127" t="s">
        <v>1604</v>
      </c>
      <c r="B1127" t="s">
        <v>1605</v>
      </c>
      <c r="C1127" t="s">
        <v>283</v>
      </c>
      <c r="D1127" s="85">
        <v>4036.55</v>
      </c>
      <c r="E1127" s="85">
        <v>350.37</v>
      </c>
      <c r="F1127" s="85">
        <v>0</v>
      </c>
      <c r="G1127" s="85">
        <v>4386.92</v>
      </c>
    </row>
    <row r="1128" spans="1:7" x14ac:dyDescent="0.25">
      <c r="A1128" t="s">
        <v>1606</v>
      </c>
      <c r="B1128" t="s">
        <v>1585</v>
      </c>
      <c r="C1128" t="s">
        <v>283</v>
      </c>
      <c r="D1128" s="85">
        <v>4178.9799999999996</v>
      </c>
      <c r="E1128" s="85">
        <v>76.88</v>
      </c>
      <c r="F1128" s="85">
        <v>0</v>
      </c>
      <c r="G1128" s="85">
        <v>4255.8599999999997</v>
      </c>
    </row>
    <row r="1129" spans="1:7" x14ac:dyDescent="0.25">
      <c r="A1129" t="s">
        <v>1607</v>
      </c>
      <c r="B1129" t="s">
        <v>1587</v>
      </c>
      <c r="C1129" t="s">
        <v>283</v>
      </c>
      <c r="D1129" s="85">
        <v>2413.13</v>
      </c>
      <c r="E1129" s="85">
        <v>148.12</v>
      </c>
      <c r="F1129" s="85">
        <v>0</v>
      </c>
      <c r="G1129" s="85">
        <v>2561.25</v>
      </c>
    </row>
    <row r="1130" spans="1:7" x14ac:dyDescent="0.25">
      <c r="A1130" t="s">
        <v>1608</v>
      </c>
      <c r="B1130" t="s">
        <v>1589</v>
      </c>
      <c r="C1130" t="s">
        <v>283</v>
      </c>
      <c r="D1130" s="85">
        <v>16911</v>
      </c>
      <c r="E1130" s="85">
        <v>6297.99</v>
      </c>
      <c r="F1130" s="85">
        <v>0</v>
      </c>
      <c r="G1130" s="85">
        <v>23208.99</v>
      </c>
    </row>
    <row r="1131" spans="1:7" x14ac:dyDescent="0.25">
      <c r="A1131" t="s">
        <v>1609</v>
      </c>
      <c r="B1131" t="s">
        <v>1610</v>
      </c>
      <c r="C1131" t="s">
        <v>271</v>
      </c>
      <c r="D1131" s="85">
        <v>467375.63</v>
      </c>
      <c r="E1131" s="85">
        <v>57193.27</v>
      </c>
      <c r="F1131" s="85">
        <v>0.04</v>
      </c>
      <c r="G1131" s="85">
        <v>524568.86</v>
      </c>
    </row>
    <row r="1132" spans="1:7" x14ac:dyDescent="0.25">
      <c r="A1132" t="s">
        <v>1611</v>
      </c>
      <c r="B1132" t="s">
        <v>586</v>
      </c>
      <c r="C1132" t="s">
        <v>271</v>
      </c>
      <c r="D1132" s="85">
        <v>122299.41</v>
      </c>
      <c r="E1132" s="85">
        <v>11540.53</v>
      </c>
      <c r="F1132" s="85">
        <v>0.04</v>
      </c>
      <c r="G1132" s="85">
        <v>133839.9</v>
      </c>
    </row>
    <row r="1133" spans="1:7" x14ac:dyDescent="0.25">
      <c r="A1133" t="s">
        <v>1612</v>
      </c>
      <c r="B1133" t="s">
        <v>1090</v>
      </c>
      <c r="C1133" t="s">
        <v>283</v>
      </c>
      <c r="D1133" s="85">
        <v>94282.68</v>
      </c>
      <c r="E1133" s="85">
        <v>8925.1299999999992</v>
      </c>
      <c r="F1133" s="85">
        <v>0.04</v>
      </c>
      <c r="G1133" s="85">
        <v>103207.77</v>
      </c>
    </row>
    <row r="1134" spans="1:7" x14ac:dyDescent="0.25">
      <c r="A1134" t="s">
        <v>1613</v>
      </c>
      <c r="B1134" t="s">
        <v>1092</v>
      </c>
      <c r="C1134" t="s">
        <v>283</v>
      </c>
      <c r="D1134" s="85">
        <v>28016.73</v>
      </c>
      <c r="E1134" s="85">
        <v>2615.4</v>
      </c>
      <c r="F1134" s="85">
        <v>0</v>
      </c>
      <c r="G1134" s="85">
        <v>30632.13</v>
      </c>
    </row>
    <row r="1135" spans="1:7" x14ac:dyDescent="0.25">
      <c r="A1135" t="s">
        <v>1614</v>
      </c>
      <c r="B1135" t="s">
        <v>302</v>
      </c>
      <c r="C1135" t="s">
        <v>271</v>
      </c>
      <c r="D1135" s="85">
        <v>153697.35</v>
      </c>
      <c r="E1135" s="85">
        <v>28174.05</v>
      </c>
      <c r="F1135" s="85">
        <v>0</v>
      </c>
      <c r="G1135" s="85">
        <v>181871.4</v>
      </c>
    </row>
    <row r="1136" spans="1:7" x14ac:dyDescent="0.25">
      <c r="A1136" t="s">
        <v>1615</v>
      </c>
      <c r="B1136" t="s">
        <v>1610</v>
      </c>
      <c r="C1136" t="s">
        <v>283</v>
      </c>
      <c r="D1136" s="85">
        <v>153697.35</v>
      </c>
      <c r="E1136" s="85">
        <v>28174.05</v>
      </c>
      <c r="F1136" s="85">
        <v>0</v>
      </c>
      <c r="G1136" s="85">
        <v>181871.4</v>
      </c>
    </row>
    <row r="1137" spans="1:7" x14ac:dyDescent="0.25">
      <c r="A1137" t="s">
        <v>1616</v>
      </c>
      <c r="B1137" t="s">
        <v>591</v>
      </c>
      <c r="C1137" t="s">
        <v>271</v>
      </c>
      <c r="D1137" s="85">
        <v>191378.87</v>
      </c>
      <c r="E1137" s="85">
        <v>17478.689999999999</v>
      </c>
      <c r="F1137" s="85">
        <v>0</v>
      </c>
      <c r="G1137" s="85">
        <v>208857.56</v>
      </c>
    </row>
    <row r="1138" spans="1:7" x14ac:dyDescent="0.25">
      <c r="A1138" t="s">
        <v>1617</v>
      </c>
      <c r="B1138" t="s">
        <v>1090</v>
      </c>
      <c r="C1138" t="s">
        <v>283</v>
      </c>
      <c r="D1138" s="85">
        <v>147584.9</v>
      </c>
      <c r="E1138" s="85">
        <v>13517.54</v>
      </c>
      <c r="F1138" s="85">
        <v>0</v>
      </c>
      <c r="G1138" s="85">
        <v>161102.44</v>
      </c>
    </row>
    <row r="1139" spans="1:7" x14ac:dyDescent="0.25">
      <c r="A1139" t="s">
        <v>1618</v>
      </c>
      <c r="B1139" t="s">
        <v>1092</v>
      </c>
      <c r="C1139" t="s">
        <v>283</v>
      </c>
      <c r="D1139" s="85">
        <v>43793.97</v>
      </c>
      <c r="E1139" s="85">
        <v>3961.15</v>
      </c>
      <c r="F1139" s="85">
        <v>0</v>
      </c>
      <c r="G1139" s="85">
        <v>47755.12</v>
      </c>
    </row>
    <row r="1140" spans="1:7" x14ac:dyDescent="0.25">
      <c r="A1140" t="s">
        <v>1619</v>
      </c>
      <c r="B1140" t="s">
        <v>1620</v>
      </c>
      <c r="C1140" t="s">
        <v>271</v>
      </c>
      <c r="D1140" s="85">
        <v>85617.89</v>
      </c>
      <c r="E1140" s="85">
        <v>7683.78</v>
      </c>
      <c r="F1140" s="85">
        <v>0</v>
      </c>
      <c r="G1140" s="85">
        <v>93301.67</v>
      </c>
    </row>
    <row r="1141" spans="1:7" x14ac:dyDescent="0.25">
      <c r="A1141" t="s">
        <v>1621</v>
      </c>
      <c r="B1141" t="s">
        <v>1622</v>
      </c>
      <c r="C1141" t="s">
        <v>271</v>
      </c>
      <c r="D1141" s="85">
        <v>27822.6</v>
      </c>
      <c r="E1141" s="85">
        <v>2566.6799999999998</v>
      </c>
      <c r="F1141" s="85">
        <v>0</v>
      </c>
      <c r="G1141" s="85">
        <v>30389.279999999999</v>
      </c>
    </row>
    <row r="1142" spans="1:7" x14ac:dyDescent="0.25">
      <c r="A1142" t="s">
        <v>1623</v>
      </c>
      <c r="B1142" t="s">
        <v>1624</v>
      </c>
      <c r="C1142" t="s">
        <v>283</v>
      </c>
      <c r="D1142" s="85">
        <v>27822.6</v>
      </c>
      <c r="E1142" s="85">
        <v>2566.6799999999998</v>
      </c>
      <c r="F1142" s="85">
        <v>0</v>
      </c>
      <c r="G1142" s="85">
        <v>30389.279999999999</v>
      </c>
    </row>
    <row r="1143" spans="1:7" x14ac:dyDescent="0.25">
      <c r="A1143" t="s">
        <v>1625</v>
      </c>
      <c r="B1143" t="s">
        <v>302</v>
      </c>
      <c r="C1143" t="s">
        <v>271</v>
      </c>
      <c r="D1143" s="85">
        <v>9880.42</v>
      </c>
      <c r="E1143" s="85">
        <v>871.74</v>
      </c>
      <c r="F1143" s="85">
        <v>0</v>
      </c>
      <c r="G1143" s="85">
        <v>10752.16</v>
      </c>
    </row>
    <row r="1144" spans="1:7" x14ac:dyDescent="0.25">
      <c r="A1144" t="s">
        <v>1626</v>
      </c>
      <c r="B1144" t="s">
        <v>1620</v>
      </c>
      <c r="C1144" t="s">
        <v>283</v>
      </c>
      <c r="D1144" s="85">
        <v>9880.42</v>
      </c>
      <c r="E1144" s="85">
        <v>871.74</v>
      </c>
      <c r="F1144" s="85">
        <v>0</v>
      </c>
      <c r="G1144" s="85">
        <v>10752.16</v>
      </c>
    </row>
    <row r="1145" spans="1:7" x14ac:dyDescent="0.25">
      <c r="A1145" t="s">
        <v>1627</v>
      </c>
      <c r="B1145" t="s">
        <v>591</v>
      </c>
      <c r="C1145" t="s">
        <v>271</v>
      </c>
      <c r="D1145" s="85">
        <v>47914.87</v>
      </c>
      <c r="E1145" s="85">
        <v>4245.3599999999997</v>
      </c>
      <c r="F1145" s="85">
        <v>0</v>
      </c>
      <c r="G1145" s="85">
        <v>52160.23</v>
      </c>
    </row>
    <row r="1146" spans="1:7" x14ac:dyDescent="0.25">
      <c r="A1146" t="s">
        <v>1628</v>
      </c>
      <c r="B1146" t="s">
        <v>1624</v>
      </c>
      <c r="C1146" t="s">
        <v>283</v>
      </c>
      <c r="D1146" s="85">
        <v>47914.87</v>
      </c>
      <c r="E1146" s="85">
        <v>4245.3599999999997</v>
      </c>
      <c r="F1146" s="85">
        <v>0</v>
      </c>
      <c r="G1146" s="85">
        <v>52160.23</v>
      </c>
    </row>
    <row r="1147" spans="1:7" x14ac:dyDescent="0.25">
      <c r="A1147" t="s">
        <v>1629</v>
      </c>
      <c r="B1147" t="s">
        <v>1630</v>
      </c>
      <c r="C1147" t="s">
        <v>271</v>
      </c>
      <c r="D1147" s="85">
        <v>205511.26</v>
      </c>
      <c r="E1147" s="85">
        <v>0</v>
      </c>
      <c r="F1147" s="85">
        <v>0</v>
      </c>
      <c r="G1147" s="85">
        <v>205511.26</v>
      </c>
    </row>
    <row r="1148" spans="1:7" x14ac:dyDescent="0.25">
      <c r="A1148" t="s">
        <v>1631</v>
      </c>
      <c r="B1148" t="s">
        <v>1622</v>
      </c>
      <c r="C1148" t="s">
        <v>271</v>
      </c>
      <c r="D1148" s="85">
        <v>49360.2</v>
      </c>
      <c r="E1148" s="85">
        <v>0</v>
      </c>
      <c r="F1148" s="85">
        <v>0</v>
      </c>
      <c r="G1148" s="85">
        <v>49360.2</v>
      </c>
    </row>
    <row r="1149" spans="1:7" x14ac:dyDescent="0.25">
      <c r="A1149" t="s">
        <v>1632</v>
      </c>
      <c r="B1149" t="s">
        <v>1633</v>
      </c>
      <c r="C1149" t="s">
        <v>283</v>
      </c>
      <c r="D1149" s="85">
        <v>49360.2</v>
      </c>
      <c r="E1149" s="85">
        <v>0</v>
      </c>
      <c r="F1149" s="85">
        <v>0</v>
      </c>
      <c r="G1149" s="85">
        <v>49360.2</v>
      </c>
    </row>
    <row r="1150" spans="1:7" x14ac:dyDescent="0.25">
      <c r="A1150" t="s">
        <v>1634</v>
      </c>
      <c r="B1150" t="s">
        <v>1635</v>
      </c>
      <c r="C1150" t="s">
        <v>271</v>
      </c>
      <c r="D1150" s="85">
        <v>58240.81</v>
      </c>
      <c r="E1150" s="85">
        <v>0</v>
      </c>
      <c r="F1150" s="85">
        <v>0</v>
      </c>
      <c r="G1150" s="85">
        <v>58240.81</v>
      </c>
    </row>
    <row r="1151" spans="1:7" x14ac:dyDescent="0.25">
      <c r="A1151" t="s">
        <v>1636</v>
      </c>
      <c r="B1151" t="s">
        <v>1630</v>
      </c>
      <c r="C1151" t="s">
        <v>283</v>
      </c>
      <c r="D1151" s="85">
        <v>58240.81</v>
      </c>
      <c r="E1151" s="85">
        <v>0</v>
      </c>
      <c r="F1151" s="85">
        <v>0</v>
      </c>
      <c r="G1151" s="85">
        <v>58240.81</v>
      </c>
    </row>
    <row r="1152" spans="1:7" x14ac:dyDescent="0.25">
      <c r="A1152" t="s">
        <v>1637</v>
      </c>
      <c r="B1152" t="s">
        <v>591</v>
      </c>
      <c r="C1152" t="s">
        <v>271</v>
      </c>
      <c r="D1152" s="85">
        <v>97910.25</v>
      </c>
      <c r="E1152" s="85">
        <v>0</v>
      </c>
      <c r="F1152" s="85">
        <v>0</v>
      </c>
      <c r="G1152" s="85">
        <v>97910.25</v>
      </c>
    </row>
    <row r="1153" spans="1:7" x14ac:dyDescent="0.25">
      <c r="A1153" t="s">
        <v>1638</v>
      </c>
      <c r="B1153" t="s">
        <v>1633</v>
      </c>
      <c r="C1153" t="s">
        <v>283</v>
      </c>
      <c r="D1153" s="85">
        <v>97910.25</v>
      </c>
      <c r="E1153" s="85">
        <v>0</v>
      </c>
      <c r="F1153" s="85">
        <v>0</v>
      </c>
      <c r="G1153" s="85">
        <v>97910.25</v>
      </c>
    </row>
    <row r="1154" spans="1:7" x14ac:dyDescent="0.25">
      <c r="A1154" t="s">
        <v>1639</v>
      </c>
      <c r="B1154" t="s">
        <v>1640</v>
      </c>
      <c r="C1154" t="s">
        <v>271</v>
      </c>
      <c r="D1154" s="85">
        <v>411086.53</v>
      </c>
      <c r="E1154" s="85">
        <v>60468.49</v>
      </c>
      <c r="F1154" s="85">
        <v>0</v>
      </c>
      <c r="G1154" s="85">
        <v>471555.02</v>
      </c>
    </row>
    <row r="1155" spans="1:7" x14ac:dyDescent="0.25">
      <c r="A1155" t="s">
        <v>1641</v>
      </c>
      <c r="B1155" t="s">
        <v>586</v>
      </c>
      <c r="C1155" t="s">
        <v>271</v>
      </c>
      <c r="D1155" s="85">
        <v>102409.21</v>
      </c>
      <c r="E1155" s="85">
        <v>15112.8</v>
      </c>
      <c r="F1155" s="85">
        <v>0</v>
      </c>
      <c r="G1155" s="85">
        <v>117522.01</v>
      </c>
    </row>
    <row r="1156" spans="1:7" x14ac:dyDescent="0.25">
      <c r="A1156" t="s">
        <v>1642</v>
      </c>
      <c r="B1156" t="s">
        <v>503</v>
      </c>
      <c r="C1156" t="s">
        <v>283</v>
      </c>
      <c r="D1156" s="85">
        <v>38613.980000000003</v>
      </c>
      <c r="E1156" s="85">
        <v>2680.04</v>
      </c>
      <c r="F1156" s="85">
        <v>0</v>
      </c>
      <c r="G1156" s="85">
        <v>41294.019999999997</v>
      </c>
    </row>
    <row r="1157" spans="1:7" x14ac:dyDescent="0.25">
      <c r="A1157" t="s">
        <v>1643</v>
      </c>
      <c r="B1157" t="s">
        <v>501</v>
      </c>
      <c r="C1157" t="s">
        <v>283</v>
      </c>
      <c r="D1157" s="85">
        <v>25156.799999999999</v>
      </c>
      <c r="E1157" s="85">
        <v>6966.75</v>
      </c>
      <c r="F1157" s="85">
        <v>0</v>
      </c>
      <c r="G1157" s="85">
        <v>32123.55</v>
      </c>
    </row>
    <row r="1158" spans="1:7" x14ac:dyDescent="0.25">
      <c r="A1158" t="s">
        <v>1644</v>
      </c>
      <c r="B1158" t="s">
        <v>1645</v>
      </c>
      <c r="C1158" t="s">
        <v>283</v>
      </c>
      <c r="D1158" s="85">
        <v>37438.379999999997</v>
      </c>
      <c r="E1158" s="85">
        <v>5361.21</v>
      </c>
      <c r="F1158" s="85">
        <v>0</v>
      </c>
      <c r="G1158" s="85">
        <v>42799.59</v>
      </c>
    </row>
    <row r="1159" spans="1:7" x14ac:dyDescent="0.25">
      <c r="A1159" t="s">
        <v>1646</v>
      </c>
      <c r="B1159" t="s">
        <v>1647</v>
      </c>
      <c r="C1159" t="s">
        <v>283</v>
      </c>
      <c r="D1159" s="85">
        <v>1200.05</v>
      </c>
      <c r="E1159" s="85">
        <v>104.8</v>
      </c>
      <c r="F1159" s="85">
        <v>0</v>
      </c>
      <c r="G1159" s="85">
        <v>1304.8499999999999</v>
      </c>
    </row>
    <row r="1160" spans="1:7" x14ac:dyDescent="0.25">
      <c r="A1160" t="s">
        <v>1648</v>
      </c>
      <c r="B1160" t="s">
        <v>302</v>
      </c>
      <c r="C1160" t="s">
        <v>271</v>
      </c>
      <c r="D1160" s="85">
        <v>111975.19</v>
      </c>
      <c r="E1160" s="85">
        <v>18483.72</v>
      </c>
      <c r="F1160" s="85">
        <v>0</v>
      </c>
      <c r="G1160" s="85">
        <v>130458.91</v>
      </c>
    </row>
    <row r="1161" spans="1:7" x14ac:dyDescent="0.25">
      <c r="A1161" t="s">
        <v>1649</v>
      </c>
      <c r="B1161" t="s">
        <v>1640</v>
      </c>
      <c r="C1161" t="s">
        <v>283</v>
      </c>
      <c r="D1161" s="85">
        <v>111975.19</v>
      </c>
      <c r="E1161" s="85">
        <v>18483.72</v>
      </c>
      <c r="F1161" s="85">
        <v>0</v>
      </c>
      <c r="G1161" s="85">
        <v>130458.91</v>
      </c>
    </row>
    <row r="1162" spans="1:7" x14ac:dyDescent="0.25">
      <c r="A1162" t="s">
        <v>1650</v>
      </c>
      <c r="B1162" t="s">
        <v>591</v>
      </c>
      <c r="C1162" t="s">
        <v>271</v>
      </c>
      <c r="D1162" s="85">
        <v>196702.13</v>
      </c>
      <c r="E1162" s="85">
        <v>26871.97</v>
      </c>
      <c r="F1162" s="85">
        <v>0</v>
      </c>
      <c r="G1162" s="85">
        <v>223574.1</v>
      </c>
    </row>
    <row r="1163" spans="1:7" x14ac:dyDescent="0.25">
      <c r="A1163" t="s">
        <v>1651</v>
      </c>
      <c r="B1163" t="s">
        <v>503</v>
      </c>
      <c r="C1163" t="s">
        <v>283</v>
      </c>
      <c r="D1163" s="85">
        <v>84560.75</v>
      </c>
      <c r="E1163" s="85">
        <v>6041.25</v>
      </c>
      <c r="F1163" s="85">
        <v>0</v>
      </c>
      <c r="G1163" s="85">
        <v>90602</v>
      </c>
    </row>
    <row r="1164" spans="1:7" x14ac:dyDescent="0.25">
      <c r="A1164" t="s">
        <v>1652</v>
      </c>
      <c r="B1164" t="s">
        <v>501</v>
      </c>
      <c r="C1164" t="s">
        <v>283</v>
      </c>
      <c r="D1164" s="85">
        <v>53737.13</v>
      </c>
      <c r="E1164" s="85">
        <v>12582.31</v>
      </c>
      <c r="F1164" s="85">
        <v>0</v>
      </c>
      <c r="G1164" s="85">
        <v>66319.44</v>
      </c>
    </row>
    <row r="1165" spans="1:7" x14ac:dyDescent="0.25">
      <c r="A1165" t="s">
        <v>1653</v>
      </c>
      <c r="B1165" t="s">
        <v>505</v>
      </c>
      <c r="C1165" t="s">
        <v>283</v>
      </c>
      <c r="D1165" s="85">
        <v>-52.22</v>
      </c>
      <c r="E1165" s="85">
        <v>52.22</v>
      </c>
      <c r="F1165" s="85">
        <v>0</v>
      </c>
      <c r="G1165" s="85">
        <v>0</v>
      </c>
    </row>
    <row r="1166" spans="1:7" x14ac:dyDescent="0.25">
      <c r="A1166" t="s">
        <v>1654</v>
      </c>
      <c r="B1166" t="s">
        <v>1645</v>
      </c>
      <c r="C1166" t="s">
        <v>283</v>
      </c>
      <c r="D1166" s="85">
        <v>55942.12</v>
      </c>
      <c r="E1166" s="85">
        <v>8007.55</v>
      </c>
      <c r="F1166" s="85">
        <v>0</v>
      </c>
      <c r="G1166" s="85">
        <v>63949.67</v>
      </c>
    </row>
    <row r="1167" spans="1:7" x14ac:dyDescent="0.25">
      <c r="A1167" t="s">
        <v>1655</v>
      </c>
      <c r="B1167" t="s">
        <v>1656</v>
      </c>
      <c r="C1167" t="s">
        <v>283</v>
      </c>
      <c r="D1167" s="85">
        <v>2514.35</v>
      </c>
      <c r="E1167" s="85">
        <v>188.64</v>
      </c>
      <c r="F1167" s="85">
        <v>0</v>
      </c>
      <c r="G1167" s="85">
        <v>2702.99</v>
      </c>
    </row>
    <row r="1168" spans="1:7" x14ac:dyDescent="0.25">
      <c r="A1168" t="s">
        <v>2484</v>
      </c>
      <c r="B1168" t="s">
        <v>331</v>
      </c>
      <c r="C1168" t="s">
        <v>271</v>
      </c>
      <c r="D1168" s="85">
        <v>879</v>
      </c>
      <c r="E1168" s="85">
        <v>0</v>
      </c>
      <c r="F1168" s="85">
        <v>0</v>
      </c>
      <c r="G1168" s="85">
        <v>879</v>
      </c>
    </row>
    <row r="1169" spans="1:7" x14ac:dyDescent="0.25">
      <c r="A1169" t="s">
        <v>2485</v>
      </c>
      <c r="B1169" t="s">
        <v>591</v>
      </c>
      <c r="C1169" t="s">
        <v>271</v>
      </c>
      <c r="D1169" s="85">
        <v>879</v>
      </c>
      <c r="E1169" s="85">
        <v>0</v>
      </c>
      <c r="F1169" s="85">
        <v>0</v>
      </c>
      <c r="G1169" s="85">
        <v>879</v>
      </c>
    </row>
    <row r="1170" spans="1:7" x14ac:dyDescent="0.25">
      <c r="A1170" t="s">
        <v>2486</v>
      </c>
      <c r="B1170" t="s">
        <v>2487</v>
      </c>
      <c r="C1170" t="s">
        <v>283</v>
      </c>
      <c r="D1170" s="85">
        <v>879</v>
      </c>
      <c r="E1170" s="85">
        <v>0</v>
      </c>
      <c r="F1170" s="85">
        <v>0</v>
      </c>
      <c r="G1170" s="85">
        <v>879</v>
      </c>
    </row>
    <row r="1171" spans="1:7" x14ac:dyDescent="0.25">
      <c r="A1171" t="s">
        <v>1659</v>
      </c>
      <c r="B1171" t="s">
        <v>1660</v>
      </c>
      <c r="C1171" t="s">
        <v>271</v>
      </c>
      <c r="D1171" s="85">
        <v>103973.85</v>
      </c>
      <c r="E1171" s="85">
        <v>37103.08</v>
      </c>
      <c r="F1171" s="85">
        <v>0</v>
      </c>
      <c r="G1171" s="85">
        <v>141076.93</v>
      </c>
    </row>
    <row r="1172" spans="1:7" x14ac:dyDescent="0.25">
      <c r="A1172" t="s">
        <v>1661</v>
      </c>
      <c r="B1172" t="s">
        <v>1660</v>
      </c>
      <c r="C1172" t="s">
        <v>271</v>
      </c>
      <c r="D1172" s="85">
        <v>103973.85</v>
      </c>
      <c r="E1172" s="85">
        <v>37103.08</v>
      </c>
      <c r="F1172" s="85">
        <v>0</v>
      </c>
      <c r="G1172" s="85">
        <v>141076.93</v>
      </c>
    </row>
    <row r="1173" spans="1:7" x14ac:dyDescent="0.25">
      <c r="A1173" t="s">
        <v>1662</v>
      </c>
      <c r="B1173" t="s">
        <v>586</v>
      </c>
      <c r="C1173" t="s">
        <v>271</v>
      </c>
      <c r="D1173" s="85">
        <v>12139.62</v>
      </c>
      <c r="E1173" s="85">
        <v>4657.4799999999996</v>
      </c>
      <c r="F1173" s="85">
        <v>0</v>
      </c>
      <c r="G1173" s="85">
        <v>16797.099999999999</v>
      </c>
    </row>
    <row r="1174" spans="1:7" x14ac:dyDescent="0.25">
      <c r="A1174" t="s">
        <v>1663</v>
      </c>
      <c r="B1174" t="s">
        <v>2488</v>
      </c>
      <c r="C1174" t="s">
        <v>283</v>
      </c>
      <c r="D1174" s="85">
        <v>1075.74</v>
      </c>
      <c r="E1174" s="85">
        <v>0</v>
      </c>
      <c r="F1174" s="85">
        <v>0</v>
      </c>
      <c r="G1174" s="85">
        <v>1075.74</v>
      </c>
    </row>
    <row r="1175" spans="1:7" x14ac:dyDescent="0.25">
      <c r="A1175" t="s">
        <v>2489</v>
      </c>
      <c r="B1175" t="s">
        <v>2490</v>
      </c>
      <c r="C1175" t="s">
        <v>283</v>
      </c>
      <c r="D1175" s="85">
        <v>307.2</v>
      </c>
      <c r="E1175" s="85">
        <v>0</v>
      </c>
      <c r="F1175" s="85">
        <v>0</v>
      </c>
      <c r="G1175" s="85">
        <v>307.2</v>
      </c>
    </row>
    <row r="1176" spans="1:7" x14ac:dyDescent="0.25">
      <c r="A1176" t="s">
        <v>2928</v>
      </c>
      <c r="B1176" t="s">
        <v>2512</v>
      </c>
      <c r="C1176" t="s">
        <v>283</v>
      </c>
      <c r="D1176" s="85">
        <v>0</v>
      </c>
      <c r="E1176" s="85">
        <v>2428.48</v>
      </c>
      <c r="F1176" s="85">
        <v>0</v>
      </c>
      <c r="G1176" s="85">
        <v>2428.48</v>
      </c>
    </row>
    <row r="1177" spans="1:7" x14ac:dyDescent="0.25">
      <c r="A1177" t="s">
        <v>2287</v>
      </c>
      <c r="B1177" t="s">
        <v>1669</v>
      </c>
      <c r="C1177" t="s">
        <v>283</v>
      </c>
      <c r="D1177" s="85">
        <v>281.05</v>
      </c>
      <c r="E1177" s="85">
        <v>0</v>
      </c>
      <c r="F1177" s="85">
        <v>0</v>
      </c>
      <c r="G1177" s="85">
        <v>281.05</v>
      </c>
    </row>
    <row r="1178" spans="1:7" x14ac:dyDescent="0.25">
      <c r="A1178" t="s">
        <v>2929</v>
      </c>
      <c r="B1178" t="s">
        <v>2930</v>
      </c>
      <c r="C1178" t="s">
        <v>283</v>
      </c>
      <c r="D1178" s="85">
        <v>6178.5</v>
      </c>
      <c r="E1178" s="85">
        <v>0</v>
      </c>
      <c r="F1178" s="85">
        <v>0</v>
      </c>
      <c r="G1178" s="85">
        <v>6178.5</v>
      </c>
    </row>
    <row r="1179" spans="1:7" x14ac:dyDescent="0.25">
      <c r="A1179" t="s">
        <v>2375</v>
      </c>
      <c r="B1179" t="s">
        <v>2248</v>
      </c>
      <c r="C1179" t="s">
        <v>283</v>
      </c>
      <c r="D1179" s="85">
        <v>61.79</v>
      </c>
      <c r="E1179" s="85">
        <v>0</v>
      </c>
      <c r="F1179" s="85">
        <v>0</v>
      </c>
      <c r="G1179" s="85">
        <v>61.79</v>
      </c>
    </row>
    <row r="1180" spans="1:7" x14ac:dyDescent="0.25">
      <c r="A1180" t="s">
        <v>2220</v>
      </c>
      <c r="B1180" t="s">
        <v>2491</v>
      </c>
      <c r="C1180" t="s">
        <v>283</v>
      </c>
      <c r="D1180" s="85">
        <v>4002.6</v>
      </c>
      <c r="E1180" s="85">
        <v>2229</v>
      </c>
      <c r="F1180" s="85">
        <v>0</v>
      </c>
      <c r="G1180" s="85">
        <v>6231.6</v>
      </c>
    </row>
    <row r="1181" spans="1:7" x14ac:dyDescent="0.25">
      <c r="A1181" t="s">
        <v>2931</v>
      </c>
      <c r="B1181" t="s">
        <v>2932</v>
      </c>
      <c r="C1181" t="s">
        <v>283</v>
      </c>
      <c r="D1181" s="85">
        <v>232.74</v>
      </c>
      <c r="E1181" s="85">
        <v>0</v>
      </c>
      <c r="F1181" s="85">
        <v>0</v>
      </c>
      <c r="G1181" s="85">
        <v>232.74</v>
      </c>
    </row>
    <row r="1182" spans="1:7" x14ac:dyDescent="0.25">
      <c r="A1182" t="s">
        <v>1665</v>
      </c>
      <c r="B1182" t="s">
        <v>302</v>
      </c>
      <c r="C1182" t="s">
        <v>271</v>
      </c>
      <c r="D1182" s="85">
        <v>79067.14</v>
      </c>
      <c r="E1182" s="85">
        <v>30822.02</v>
      </c>
      <c r="F1182" s="85">
        <v>0</v>
      </c>
      <c r="G1182" s="85">
        <v>109889.16</v>
      </c>
    </row>
    <row r="1183" spans="1:7" x14ac:dyDescent="0.25">
      <c r="A1183" t="s">
        <v>1666</v>
      </c>
      <c r="B1183" t="s">
        <v>2492</v>
      </c>
      <c r="C1183" t="s">
        <v>283</v>
      </c>
      <c r="D1183" s="85">
        <v>79067.14</v>
      </c>
      <c r="E1183" s="85">
        <v>30822.02</v>
      </c>
      <c r="F1183" s="85">
        <v>0</v>
      </c>
      <c r="G1183" s="85">
        <v>109889.16</v>
      </c>
    </row>
    <row r="1184" spans="1:7" x14ac:dyDescent="0.25">
      <c r="A1184" t="s">
        <v>1667</v>
      </c>
      <c r="B1184" t="s">
        <v>591</v>
      </c>
      <c r="C1184" t="s">
        <v>271</v>
      </c>
      <c r="D1184" s="85">
        <v>12767.09</v>
      </c>
      <c r="E1184" s="85">
        <v>1623.58</v>
      </c>
      <c r="F1184" s="85">
        <v>0</v>
      </c>
      <c r="G1184" s="85">
        <v>14390.67</v>
      </c>
    </row>
    <row r="1185" spans="1:7" x14ac:dyDescent="0.25">
      <c r="A1185" t="s">
        <v>1668</v>
      </c>
      <c r="B1185" t="s">
        <v>2493</v>
      </c>
      <c r="C1185" t="s">
        <v>283</v>
      </c>
      <c r="D1185" s="85">
        <v>48.43</v>
      </c>
      <c r="E1185" s="85">
        <v>0</v>
      </c>
      <c r="F1185" s="85">
        <v>0</v>
      </c>
      <c r="G1185" s="85">
        <v>48.43</v>
      </c>
    </row>
    <row r="1186" spans="1:7" x14ac:dyDescent="0.25">
      <c r="A1186" t="s">
        <v>1670</v>
      </c>
      <c r="B1186" t="s">
        <v>1664</v>
      </c>
      <c r="C1186" t="s">
        <v>283</v>
      </c>
      <c r="D1186" s="85">
        <v>5050.5</v>
      </c>
      <c r="E1186" s="85">
        <v>602.78</v>
      </c>
      <c r="F1186" s="85">
        <v>0</v>
      </c>
      <c r="G1186" s="85">
        <v>5653.28</v>
      </c>
    </row>
    <row r="1187" spans="1:7" x14ac:dyDescent="0.25">
      <c r="A1187" t="s">
        <v>2494</v>
      </c>
      <c r="B1187" t="s">
        <v>2495</v>
      </c>
      <c r="C1187" t="s">
        <v>283</v>
      </c>
      <c r="D1187" s="85">
        <v>15</v>
      </c>
      <c r="E1187" s="85">
        <v>0</v>
      </c>
      <c r="F1187" s="85">
        <v>0</v>
      </c>
      <c r="G1187" s="85">
        <v>15</v>
      </c>
    </row>
    <row r="1188" spans="1:7" x14ac:dyDescent="0.25">
      <c r="A1188" t="s">
        <v>1671</v>
      </c>
      <c r="B1188" t="s">
        <v>1672</v>
      </c>
      <c r="C1188" t="s">
        <v>283</v>
      </c>
      <c r="D1188" s="85">
        <v>818.83</v>
      </c>
      <c r="E1188" s="85">
        <v>0</v>
      </c>
      <c r="F1188" s="85">
        <v>0</v>
      </c>
      <c r="G1188" s="85">
        <v>818.83</v>
      </c>
    </row>
    <row r="1189" spans="1:7" x14ac:dyDescent="0.25">
      <c r="A1189" t="s">
        <v>1673</v>
      </c>
      <c r="B1189" t="s">
        <v>1674</v>
      </c>
      <c r="C1189" t="s">
        <v>283</v>
      </c>
      <c r="D1189" s="85">
        <v>4333.1499999999996</v>
      </c>
      <c r="E1189" s="85">
        <v>340.8</v>
      </c>
      <c r="F1189" s="85">
        <v>0</v>
      </c>
      <c r="G1189" s="85">
        <v>4673.95</v>
      </c>
    </row>
    <row r="1190" spans="1:7" x14ac:dyDescent="0.25">
      <c r="A1190" t="s">
        <v>2247</v>
      </c>
      <c r="B1190" t="s">
        <v>2248</v>
      </c>
      <c r="C1190" t="s">
        <v>283</v>
      </c>
      <c r="D1190" s="85">
        <v>145.94999999999999</v>
      </c>
      <c r="E1190" s="85">
        <v>0</v>
      </c>
      <c r="F1190" s="85">
        <v>0</v>
      </c>
      <c r="G1190" s="85">
        <v>145.94999999999999</v>
      </c>
    </row>
    <row r="1191" spans="1:7" x14ac:dyDescent="0.25">
      <c r="A1191" t="s">
        <v>1675</v>
      </c>
      <c r="B1191" t="s">
        <v>2491</v>
      </c>
      <c r="C1191" t="s">
        <v>283</v>
      </c>
      <c r="D1191" s="85">
        <v>2148.27</v>
      </c>
      <c r="E1191" s="85">
        <v>680</v>
      </c>
      <c r="F1191" s="85">
        <v>0</v>
      </c>
      <c r="G1191" s="85">
        <v>2828.27</v>
      </c>
    </row>
    <row r="1192" spans="1:7" x14ac:dyDescent="0.25">
      <c r="A1192" t="s">
        <v>2933</v>
      </c>
      <c r="B1192" t="s">
        <v>2932</v>
      </c>
      <c r="C1192" t="s">
        <v>283</v>
      </c>
      <c r="D1192" s="85">
        <v>206.96</v>
      </c>
      <c r="E1192" s="85">
        <v>0</v>
      </c>
      <c r="F1192" s="85">
        <v>0</v>
      </c>
      <c r="G1192" s="85">
        <v>206.96</v>
      </c>
    </row>
    <row r="1193" spans="1:7" x14ac:dyDescent="0.25">
      <c r="A1193" t="s">
        <v>1676</v>
      </c>
      <c r="B1193" t="s">
        <v>1677</v>
      </c>
      <c r="C1193" t="s">
        <v>271</v>
      </c>
      <c r="D1193" s="85">
        <v>1427581.34</v>
      </c>
      <c r="E1193" s="85">
        <v>159618.49</v>
      </c>
      <c r="F1193" s="85">
        <v>0</v>
      </c>
      <c r="G1193" s="85">
        <v>1587199.83</v>
      </c>
    </row>
    <row r="1194" spans="1:7" x14ac:dyDescent="0.25">
      <c r="A1194" t="s">
        <v>1678</v>
      </c>
      <c r="B1194" t="s">
        <v>1677</v>
      </c>
      <c r="C1194" t="s">
        <v>271</v>
      </c>
      <c r="D1194" s="85">
        <v>1427581.34</v>
      </c>
      <c r="E1194" s="85">
        <v>159618.49</v>
      </c>
      <c r="F1194" s="85">
        <v>0</v>
      </c>
      <c r="G1194" s="85">
        <v>1587199.83</v>
      </c>
    </row>
    <row r="1195" spans="1:7" x14ac:dyDescent="0.25">
      <c r="A1195" t="s">
        <v>1679</v>
      </c>
      <c r="B1195" t="s">
        <v>586</v>
      </c>
      <c r="C1195" t="s">
        <v>271</v>
      </c>
      <c r="D1195" s="85">
        <v>154957.46</v>
      </c>
      <c r="E1195" s="85">
        <v>17567.990000000002</v>
      </c>
      <c r="F1195" s="85">
        <v>0</v>
      </c>
      <c r="G1195" s="85">
        <v>172525.45</v>
      </c>
    </row>
    <row r="1196" spans="1:7" x14ac:dyDescent="0.25">
      <c r="A1196" t="s">
        <v>1681</v>
      </c>
      <c r="B1196" t="s">
        <v>2249</v>
      </c>
      <c r="C1196" t="s">
        <v>283</v>
      </c>
      <c r="D1196" s="85">
        <v>5796.21</v>
      </c>
      <c r="E1196" s="85">
        <v>184.15</v>
      </c>
      <c r="F1196" s="85">
        <v>0</v>
      </c>
      <c r="G1196" s="85">
        <v>5980.36</v>
      </c>
    </row>
    <row r="1197" spans="1:7" x14ac:dyDescent="0.25">
      <c r="A1197" t="s">
        <v>1682</v>
      </c>
      <c r="B1197" t="s">
        <v>2496</v>
      </c>
      <c r="C1197" t="s">
        <v>283</v>
      </c>
      <c r="D1197" s="85">
        <v>51257.53</v>
      </c>
      <c r="E1197" s="85">
        <v>10097.15</v>
      </c>
      <c r="F1197" s="85">
        <v>0</v>
      </c>
      <c r="G1197" s="85">
        <v>61354.68</v>
      </c>
    </row>
    <row r="1198" spans="1:7" x14ac:dyDescent="0.25">
      <c r="A1198" t="s">
        <v>1683</v>
      </c>
      <c r="B1198" t="s">
        <v>1684</v>
      </c>
      <c r="C1198" t="s">
        <v>283</v>
      </c>
      <c r="D1198" s="85">
        <v>1201.6199999999999</v>
      </c>
      <c r="E1198" s="85">
        <v>111.45</v>
      </c>
      <c r="F1198" s="85">
        <v>0</v>
      </c>
      <c r="G1198" s="85">
        <v>1313.07</v>
      </c>
    </row>
    <row r="1199" spans="1:7" x14ac:dyDescent="0.25">
      <c r="A1199" t="s">
        <v>2376</v>
      </c>
      <c r="B1199" t="s">
        <v>2377</v>
      </c>
      <c r="C1199" t="s">
        <v>283</v>
      </c>
      <c r="D1199" s="85">
        <v>95482.1</v>
      </c>
      <c r="E1199" s="85">
        <v>6215.24</v>
      </c>
      <c r="F1199" s="85">
        <v>0</v>
      </c>
      <c r="G1199" s="85">
        <v>101697.34</v>
      </c>
    </row>
    <row r="1200" spans="1:7" x14ac:dyDescent="0.25">
      <c r="A1200" t="s">
        <v>2934</v>
      </c>
      <c r="B1200" t="s">
        <v>2532</v>
      </c>
      <c r="C1200" t="s">
        <v>283</v>
      </c>
      <c r="D1200" s="85">
        <v>1220</v>
      </c>
      <c r="E1200" s="85">
        <v>960</v>
      </c>
      <c r="F1200" s="85">
        <v>0</v>
      </c>
      <c r="G1200" s="85">
        <v>2180</v>
      </c>
    </row>
    <row r="1201" spans="1:7" x14ac:dyDescent="0.25">
      <c r="A1201" t="s">
        <v>1685</v>
      </c>
      <c r="B1201" t="s">
        <v>302</v>
      </c>
      <c r="C1201" t="s">
        <v>271</v>
      </c>
      <c r="D1201" s="85">
        <v>824289.55</v>
      </c>
      <c r="E1201" s="85">
        <v>97784.43</v>
      </c>
      <c r="F1201" s="85">
        <v>0</v>
      </c>
      <c r="G1201" s="85">
        <v>922073.98</v>
      </c>
    </row>
    <row r="1202" spans="1:7" x14ac:dyDescent="0.25">
      <c r="A1202" t="s">
        <v>1686</v>
      </c>
      <c r="B1202" t="s">
        <v>1680</v>
      </c>
      <c r="C1202" t="s">
        <v>283</v>
      </c>
      <c r="D1202" s="85">
        <v>824289.55</v>
      </c>
      <c r="E1202" s="85">
        <v>97784.43</v>
      </c>
      <c r="F1202" s="85">
        <v>0</v>
      </c>
      <c r="G1202" s="85">
        <v>922073.98</v>
      </c>
    </row>
    <row r="1203" spans="1:7" x14ac:dyDescent="0.25">
      <c r="A1203" t="s">
        <v>1687</v>
      </c>
      <c r="B1203" t="s">
        <v>591</v>
      </c>
      <c r="C1203" t="s">
        <v>271</v>
      </c>
      <c r="D1203" s="85">
        <v>448334.33</v>
      </c>
      <c r="E1203" s="85">
        <v>44266.07</v>
      </c>
      <c r="F1203" s="85">
        <v>0</v>
      </c>
      <c r="G1203" s="85">
        <v>492600.4</v>
      </c>
    </row>
    <row r="1204" spans="1:7" x14ac:dyDescent="0.25">
      <c r="A1204" t="s">
        <v>1688</v>
      </c>
      <c r="B1204" t="s">
        <v>1680</v>
      </c>
      <c r="C1204" t="s">
        <v>283</v>
      </c>
      <c r="D1204" s="85">
        <v>13857.5</v>
      </c>
      <c r="E1204" s="85">
        <v>0</v>
      </c>
      <c r="F1204" s="85">
        <v>0</v>
      </c>
      <c r="G1204" s="85">
        <v>13857.5</v>
      </c>
    </row>
    <row r="1205" spans="1:7" x14ac:dyDescent="0.25">
      <c r="A1205" t="s">
        <v>1689</v>
      </c>
      <c r="B1205" t="s">
        <v>2249</v>
      </c>
      <c r="C1205" t="s">
        <v>283</v>
      </c>
      <c r="D1205" s="85">
        <v>152341</v>
      </c>
      <c r="E1205" s="85">
        <v>16387.79</v>
      </c>
      <c r="F1205" s="85">
        <v>0</v>
      </c>
      <c r="G1205" s="85">
        <v>168728.79</v>
      </c>
    </row>
    <row r="1206" spans="1:7" x14ac:dyDescent="0.25">
      <c r="A1206" t="s">
        <v>1690</v>
      </c>
      <c r="B1206" t="s">
        <v>2497</v>
      </c>
      <c r="C1206" t="s">
        <v>283</v>
      </c>
      <c r="D1206" s="85">
        <v>51377.53</v>
      </c>
      <c r="E1206" s="85">
        <v>10097.15</v>
      </c>
      <c r="F1206" s="85">
        <v>0</v>
      </c>
      <c r="G1206" s="85">
        <v>61474.68</v>
      </c>
    </row>
    <row r="1207" spans="1:7" x14ac:dyDescent="0.25">
      <c r="A1207" t="s">
        <v>1691</v>
      </c>
      <c r="B1207" t="s">
        <v>1692</v>
      </c>
      <c r="C1207" t="s">
        <v>283</v>
      </c>
      <c r="D1207" s="85">
        <v>25247.41</v>
      </c>
      <c r="E1207" s="85">
        <v>6018.98</v>
      </c>
      <c r="F1207" s="85">
        <v>0</v>
      </c>
      <c r="G1207" s="85">
        <v>31266.39</v>
      </c>
    </row>
    <row r="1208" spans="1:7" x14ac:dyDescent="0.25">
      <c r="A1208" t="s">
        <v>2498</v>
      </c>
      <c r="B1208" t="s">
        <v>2499</v>
      </c>
      <c r="C1208" t="s">
        <v>283</v>
      </c>
      <c r="D1208" s="85">
        <v>200</v>
      </c>
      <c r="E1208" s="85">
        <v>0</v>
      </c>
      <c r="F1208" s="85">
        <v>0</v>
      </c>
      <c r="G1208" s="85">
        <v>200</v>
      </c>
    </row>
    <row r="1209" spans="1:7" x14ac:dyDescent="0.25">
      <c r="A1209" t="s">
        <v>1693</v>
      </c>
      <c r="B1209" t="s">
        <v>1684</v>
      </c>
      <c r="C1209" t="s">
        <v>283</v>
      </c>
      <c r="D1209" s="85">
        <v>21527.66</v>
      </c>
      <c r="E1209" s="85">
        <v>1368.4</v>
      </c>
      <c r="F1209" s="85">
        <v>0</v>
      </c>
      <c r="G1209" s="85">
        <v>22896.06</v>
      </c>
    </row>
    <row r="1210" spans="1:7" x14ac:dyDescent="0.25">
      <c r="A1210" t="s">
        <v>2500</v>
      </c>
      <c r="B1210" t="s">
        <v>2377</v>
      </c>
      <c r="C1210" t="s">
        <v>283</v>
      </c>
      <c r="D1210" s="85">
        <v>162417.23000000001</v>
      </c>
      <c r="E1210" s="85">
        <v>6413.75</v>
      </c>
      <c r="F1210" s="85">
        <v>0</v>
      </c>
      <c r="G1210" s="85">
        <v>168830.98</v>
      </c>
    </row>
    <row r="1211" spans="1:7" x14ac:dyDescent="0.25">
      <c r="A1211" t="s">
        <v>2289</v>
      </c>
      <c r="B1211" t="s">
        <v>2501</v>
      </c>
      <c r="C1211" t="s">
        <v>283</v>
      </c>
      <c r="D1211" s="85">
        <v>20600</v>
      </c>
      <c r="E1211" s="85">
        <v>1100</v>
      </c>
      <c r="F1211" s="85">
        <v>0</v>
      </c>
      <c r="G1211" s="85">
        <v>21700</v>
      </c>
    </row>
    <row r="1212" spans="1:7" x14ac:dyDescent="0.25">
      <c r="A1212" t="s">
        <v>2250</v>
      </c>
      <c r="B1212" t="s">
        <v>2221</v>
      </c>
      <c r="C1212" t="s">
        <v>283</v>
      </c>
      <c r="D1212" s="85">
        <v>305</v>
      </c>
      <c r="E1212" s="85">
        <v>0</v>
      </c>
      <c r="F1212" s="85">
        <v>0</v>
      </c>
      <c r="G1212" s="85">
        <v>305</v>
      </c>
    </row>
    <row r="1213" spans="1:7" x14ac:dyDescent="0.25">
      <c r="A1213" t="s">
        <v>2935</v>
      </c>
      <c r="B1213" t="s">
        <v>2532</v>
      </c>
      <c r="C1213" t="s">
        <v>283</v>
      </c>
      <c r="D1213" s="85">
        <v>461</v>
      </c>
      <c r="E1213" s="85">
        <v>2880</v>
      </c>
      <c r="F1213" s="85">
        <v>0</v>
      </c>
      <c r="G1213" s="85">
        <v>3341</v>
      </c>
    </row>
    <row r="1214" spans="1:7" x14ac:dyDescent="0.25">
      <c r="A1214" t="s">
        <v>1694</v>
      </c>
      <c r="B1214" t="s">
        <v>1695</v>
      </c>
      <c r="C1214" t="s">
        <v>271</v>
      </c>
      <c r="D1214" s="85">
        <v>10869.87</v>
      </c>
      <c r="E1214" s="85">
        <v>92.16</v>
      </c>
      <c r="F1214" s="85">
        <v>0</v>
      </c>
      <c r="G1214" s="85">
        <v>10962.03</v>
      </c>
    </row>
    <row r="1215" spans="1:7" x14ac:dyDescent="0.25">
      <c r="A1215" t="s">
        <v>1696</v>
      </c>
      <c r="B1215" t="s">
        <v>1697</v>
      </c>
      <c r="C1215" t="s">
        <v>271</v>
      </c>
      <c r="D1215" s="85">
        <v>10869.87</v>
      </c>
      <c r="E1215" s="85">
        <v>92.16</v>
      </c>
      <c r="F1215" s="85">
        <v>0</v>
      </c>
      <c r="G1215" s="85">
        <v>10962.03</v>
      </c>
    </row>
    <row r="1216" spans="1:7" x14ac:dyDescent="0.25">
      <c r="A1216" t="s">
        <v>1698</v>
      </c>
      <c r="B1216" t="s">
        <v>302</v>
      </c>
      <c r="C1216" t="s">
        <v>271</v>
      </c>
      <c r="D1216" s="85">
        <v>10869.87</v>
      </c>
      <c r="E1216" s="85">
        <v>92.16</v>
      </c>
      <c r="F1216" s="85">
        <v>0</v>
      </c>
      <c r="G1216" s="85">
        <v>10962.03</v>
      </c>
    </row>
    <row r="1217" spans="1:7" x14ac:dyDescent="0.25">
      <c r="A1217" t="s">
        <v>1699</v>
      </c>
      <c r="B1217" t="s">
        <v>1700</v>
      </c>
      <c r="C1217" t="s">
        <v>283</v>
      </c>
      <c r="D1217" s="85">
        <v>10869.87</v>
      </c>
      <c r="E1217" s="85">
        <v>92.16</v>
      </c>
      <c r="F1217" s="85">
        <v>0</v>
      </c>
      <c r="G1217" s="85">
        <v>10962.03</v>
      </c>
    </row>
    <row r="1218" spans="1:7" x14ac:dyDescent="0.25">
      <c r="A1218" t="s">
        <v>1701</v>
      </c>
      <c r="B1218" t="s">
        <v>1702</v>
      </c>
      <c r="C1218" t="s">
        <v>271</v>
      </c>
      <c r="D1218" s="85">
        <v>54180.36</v>
      </c>
      <c r="E1218" s="85">
        <v>7734.98</v>
      </c>
      <c r="F1218" s="85">
        <v>0.01</v>
      </c>
      <c r="G1218" s="85">
        <v>61915.33</v>
      </c>
    </row>
    <row r="1219" spans="1:7" x14ac:dyDescent="0.25">
      <c r="A1219" t="s">
        <v>1703</v>
      </c>
      <c r="B1219" t="s">
        <v>1702</v>
      </c>
      <c r="C1219" t="s">
        <v>271</v>
      </c>
      <c r="D1219" s="85">
        <v>54180.36</v>
      </c>
      <c r="E1219" s="85">
        <v>7734.98</v>
      </c>
      <c r="F1219" s="85">
        <v>0.01</v>
      </c>
      <c r="G1219" s="85">
        <v>61915.33</v>
      </c>
    </row>
    <row r="1220" spans="1:7" x14ac:dyDescent="0.25">
      <c r="A1220" t="s">
        <v>2936</v>
      </c>
      <c r="B1220" t="s">
        <v>586</v>
      </c>
      <c r="C1220" t="s">
        <v>271</v>
      </c>
      <c r="D1220" s="85">
        <v>4354.68</v>
      </c>
      <c r="E1220" s="85">
        <v>870.94</v>
      </c>
      <c r="F1220" s="85">
        <v>0</v>
      </c>
      <c r="G1220" s="85">
        <v>5225.62</v>
      </c>
    </row>
    <row r="1221" spans="1:7" x14ac:dyDescent="0.25">
      <c r="A1221" t="s">
        <v>2937</v>
      </c>
      <c r="B1221" t="s">
        <v>1702</v>
      </c>
      <c r="C1221" t="s">
        <v>283</v>
      </c>
      <c r="D1221" s="85">
        <v>4354.68</v>
      </c>
      <c r="E1221" s="85">
        <v>870.94</v>
      </c>
      <c r="F1221" s="85">
        <v>0</v>
      </c>
      <c r="G1221" s="85">
        <v>5225.62</v>
      </c>
    </row>
    <row r="1222" spans="1:7" x14ac:dyDescent="0.25">
      <c r="A1222" t="s">
        <v>1704</v>
      </c>
      <c r="B1222" t="s">
        <v>302</v>
      </c>
      <c r="C1222" t="s">
        <v>271</v>
      </c>
      <c r="D1222" s="85">
        <v>45470.99</v>
      </c>
      <c r="E1222" s="85">
        <v>5993.11</v>
      </c>
      <c r="F1222" s="85">
        <v>0.01</v>
      </c>
      <c r="G1222" s="85">
        <v>51464.09</v>
      </c>
    </row>
    <row r="1223" spans="1:7" x14ac:dyDescent="0.25">
      <c r="A1223" t="s">
        <v>1705</v>
      </c>
      <c r="B1223" t="s">
        <v>1702</v>
      </c>
      <c r="C1223" t="s">
        <v>283</v>
      </c>
      <c r="D1223" s="85">
        <v>45470.99</v>
      </c>
      <c r="E1223" s="85">
        <v>5993.11</v>
      </c>
      <c r="F1223" s="85">
        <v>0.01</v>
      </c>
      <c r="G1223" s="85">
        <v>51464.09</v>
      </c>
    </row>
    <row r="1224" spans="1:7" x14ac:dyDescent="0.25">
      <c r="A1224" t="s">
        <v>2938</v>
      </c>
      <c r="B1224" t="s">
        <v>591</v>
      </c>
      <c r="C1224" t="s">
        <v>271</v>
      </c>
      <c r="D1224" s="85">
        <v>4354.6899999999996</v>
      </c>
      <c r="E1224" s="85">
        <v>870.93</v>
      </c>
      <c r="F1224" s="85">
        <v>0</v>
      </c>
      <c r="G1224" s="85">
        <v>5225.62</v>
      </c>
    </row>
    <row r="1225" spans="1:7" x14ac:dyDescent="0.25">
      <c r="A1225" t="s">
        <v>2939</v>
      </c>
      <c r="B1225" t="s">
        <v>1702</v>
      </c>
      <c r="C1225" t="s">
        <v>283</v>
      </c>
      <c r="D1225" s="85">
        <v>4354.6899999999996</v>
      </c>
      <c r="E1225" s="85">
        <v>870.93</v>
      </c>
      <c r="F1225" s="85">
        <v>0</v>
      </c>
      <c r="G1225" s="85">
        <v>5225.62</v>
      </c>
    </row>
    <row r="1226" spans="1:7" x14ac:dyDescent="0.25">
      <c r="A1226" t="s">
        <v>1706</v>
      </c>
      <c r="B1226" t="s">
        <v>1707</v>
      </c>
      <c r="C1226" t="s">
        <v>271</v>
      </c>
      <c r="D1226" s="85">
        <v>25360</v>
      </c>
      <c r="E1226" s="85">
        <v>0</v>
      </c>
      <c r="F1226" s="85">
        <v>0</v>
      </c>
      <c r="G1226" s="85">
        <v>25360</v>
      </c>
    </row>
    <row r="1227" spans="1:7" x14ac:dyDescent="0.25">
      <c r="A1227" t="s">
        <v>1708</v>
      </c>
      <c r="B1227" t="s">
        <v>1707</v>
      </c>
      <c r="C1227" t="s">
        <v>271</v>
      </c>
      <c r="D1227" s="85">
        <v>25360</v>
      </c>
      <c r="E1227" s="85">
        <v>0</v>
      </c>
      <c r="F1227" s="85">
        <v>0</v>
      </c>
      <c r="G1227" s="85">
        <v>25360</v>
      </c>
    </row>
    <row r="1228" spans="1:7" x14ac:dyDescent="0.25">
      <c r="A1228" t="s">
        <v>1709</v>
      </c>
      <c r="B1228" t="s">
        <v>302</v>
      </c>
      <c r="C1228" t="s">
        <v>271</v>
      </c>
      <c r="D1228" s="85">
        <v>25360</v>
      </c>
      <c r="E1228" s="85">
        <v>0</v>
      </c>
      <c r="F1228" s="85">
        <v>0</v>
      </c>
      <c r="G1228" s="85">
        <v>25360</v>
      </c>
    </row>
    <row r="1229" spans="1:7" x14ac:dyDescent="0.25">
      <c r="A1229" t="s">
        <v>1710</v>
      </c>
      <c r="B1229" t="s">
        <v>1711</v>
      </c>
      <c r="C1229" t="s">
        <v>283</v>
      </c>
      <c r="D1229" s="85">
        <v>25360</v>
      </c>
      <c r="E1229" s="85">
        <v>0</v>
      </c>
      <c r="F1229" s="85">
        <v>0</v>
      </c>
      <c r="G1229" s="85">
        <v>25360</v>
      </c>
    </row>
    <row r="1230" spans="1:7" x14ac:dyDescent="0.25">
      <c r="A1230" t="s">
        <v>2251</v>
      </c>
      <c r="B1230" t="s">
        <v>1910</v>
      </c>
      <c r="C1230" t="s">
        <v>271</v>
      </c>
      <c r="D1230" s="85">
        <v>43762.79</v>
      </c>
      <c r="E1230" s="85">
        <v>0</v>
      </c>
      <c r="F1230" s="85">
        <v>0</v>
      </c>
      <c r="G1230" s="85">
        <v>43762.79</v>
      </c>
    </row>
    <row r="1231" spans="1:7" x14ac:dyDescent="0.25">
      <c r="A1231" t="s">
        <v>2940</v>
      </c>
      <c r="B1231" t="s">
        <v>2941</v>
      </c>
      <c r="C1231" t="s">
        <v>271</v>
      </c>
      <c r="D1231" s="85">
        <v>43762.79</v>
      </c>
      <c r="E1231" s="85">
        <v>0</v>
      </c>
      <c r="F1231" s="85">
        <v>0</v>
      </c>
      <c r="G1231" s="85">
        <v>43762.79</v>
      </c>
    </row>
    <row r="1232" spans="1:7" x14ac:dyDescent="0.25">
      <c r="A1232" t="s">
        <v>2942</v>
      </c>
      <c r="B1232" t="s">
        <v>302</v>
      </c>
      <c r="C1232" t="s">
        <v>271</v>
      </c>
      <c r="D1232" s="85">
        <v>43762.79</v>
      </c>
      <c r="E1232" s="85">
        <v>0</v>
      </c>
      <c r="F1232" s="85">
        <v>0</v>
      </c>
      <c r="G1232" s="85">
        <v>43762.79</v>
      </c>
    </row>
    <row r="1233" spans="1:7" x14ac:dyDescent="0.25">
      <c r="A1233" t="s">
        <v>2943</v>
      </c>
      <c r="B1233" t="s">
        <v>2941</v>
      </c>
      <c r="C1233" t="s">
        <v>283</v>
      </c>
      <c r="D1233" s="85">
        <v>43762.79</v>
      </c>
      <c r="E1233" s="85">
        <v>0</v>
      </c>
      <c r="F1233" s="85">
        <v>0</v>
      </c>
      <c r="G1233" s="85">
        <v>43762.79</v>
      </c>
    </row>
    <row r="1234" spans="1:7" x14ac:dyDescent="0.25">
      <c r="A1234" t="s">
        <v>1712</v>
      </c>
      <c r="B1234" t="s">
        <v>1713</v>
      </c>
      <c r="C1234" t="s">
        <v>271</v>
      </c>
      <c r="D1234" s="85">
        <v>18.14</v>
      </c>
      <c r="E1234" s="85">
        <v>0</v>
      </c>
      <c r="F1234" s="85">
        <v>18.14</v>
      </c>
      <c r="G1234" s="85">
        <v>0</v>
      </c>
    </row>
    <row r="1235" spans="1:7" x14ac:dyDescent="0.25">
      <c r="A1235" t="s">
        <v>2378</v>
      </c>
      <c r="B1235" t="s">
        <v>1714</v>
      </c>
      <c r="C1235" t="s">
        <v>271</v>
      </c>
      <c r="D1235" s="85">
        <v>18.14</v>
      </c>
      <c r="E1235" s="85">
        <v>0</v>
      </c>
      <c r="F1235" s="85">
        <v>18.14</v>
      </c>
      <c r="G1235" s="85">
        <v>0</v>
      </c>
    </row>
    <row r="1236" spans="1:7" x14ac:dyDescent="0.25">
      <c r="A1236" t="s">
        <v>2379</v>
      </c>
      <c r="B1236" t="s">
        <v>302</v>
      </c>
      <c r="C1236" t="s">
        <v>271</v>
      </c>
      <c r="D1236" s="85">
        <v>18.14</v>
      </c>
      <c r="E1236" s="85">
        <v>0</v>
      </c>
      <c r="F1236" s="85">
        <v>18.14</v>
      </c>
      <c r="G1236" s="85">
        <v>0</v>
      </c>
    </row>
    <row r="1237" spans="1:7" x14ac:dyDescent="0.25">
      <c r="A1237" t="s">
        <v>2502</v>
      </c>
      <c r="B1237" t="s">
        <v>1714</v>
      </c>
      <c r="C1237" t="s">
        <v>283</v>
      </c>
      <c r="D1237" s="85">
        <v>18.14</v>
      </c>
      <c r="E1237" s="85">
        <v>0</v>
      </c>
      <c r="F1237" s="85">
        <v>18.14</v>
      </c>
      <c r="G1237" s="85">
        <v>0</v>
      </c>
    </row>
    <row r="1238" spans="1:7" x14ac:dyDescent="0.25">
      <c r="A1238" t="s">
        <v>1715</v>
      </c>
      <c r="B1238" t="s">
        <v>1042</v>
      </c>
      <c r="C1238" t="s">
        <v>271</v>
      </c>
      <c r="D1238" s="85">
        <v>24831.119999999999</v>
      </c>
      <c r="E1238" s="85">
        <v>2754.13</v>
      </c>
      <c r="F1238" s="85">
        <v>0</v>
      </c>
      <c r="G1238" s="85">
        <v>27585.25</v>
      </c>
    </row>
    <row r="1239" spans="1:7" x14ac:dyDescent="0.25">
      <c r="A1239" t="s">
        <v>1716</v>
      </c>
      <c r="B1239" t="s">
        <v>1042</v>
      </c>
      <c r="C1239" t="s">
        <v>271</v>
      </c>
      <c r="D1239" s="85">
        <v>24831.119999999999</v>
      </c>
      <c r="E1239" s="85">
        <v>2754.13</v>
      </c>
      <c r="F1239" s="85">
        <v>0</v>
      </c>
      <c r="G1239" s="85">
        <v>27585.25</v>
      </c>
    </row>
    <row r="1240" spans="1:7" x14ac:dyDescent="0.25">
      <c r="A1240" t="s">
        <v>2503</v>
      </c>
      <c r="B1240" t="s">
        <v>586</v>
      </c>
      <c r="C1240" t="s">
        <v>271</v>
      </c>
      <c r="D1240" s="85">
        <v>9035.56</v>
      </c>
      <c r="E1240" s="85">
        <v>0</v>
      </c>
      <c r="F1240" s="85">
        <v>0</v>
      </c>
      <c r="G1240" s="85">
        <v>9035.56</v>
      </c>
    </row>
    <row r="1241" spans="1:7" x14ac:dyDescent="0.25">
      <c r="A1241" t="s">
        <v>2504</v>
      </c>
      <c r="B1241" t="s">
        <v>2505</v>
      </c>
      <c r="C1241" t="s">
        <v>283</v>
      </c>
      <c r="D1241" s="85">
        <v>9035.56</v>
      </c>
      <c r="E1241" s="85">
        <v>0</v>
      </c>
      <c r="F1241" s="85">
        <v>0</v>
      </c>
      <c r="G1241" s="85">
        <v>9035.56</v>
      </c>
    </row>
    <row r="1242" spans="1:7" x14ac:dyDescent="0.25">
      <c r="A1242" t="s">
        <v>1717</v>
      </c>
      <c r="B1242" t="s">
        <v>302</v>
      </c>
      <c r="C1242" t="s">
        <v>271</v>
      </c>
      <c r="D1242" s="85">
        <v>15352.11</v>
      </c>
      <c r="E1242" s="85">
        <v>2754.13</v>
      </c>
      <c r="F1242" s="85">
        <v>0</v>
      </c>
      <c r="G1242" s="85">
        <v>18106.240000000002</v>
      </c>
    </row>
    <row r="1243" spans="1:7" x14ac:dyDescent="0.25">
      <c r="A1243" t="s">
        <v>1718</v>
      </c>
      <c r="B1243" t="s">
        <v>1042</v>
      </c>
      <c r="C1243" t="s">
        <v>283</v>
      </c>
      <c r="D1243" s="85">
        <v>15352.11</v>
      </c>
      <c r="E1243" s="85">
        <v>2754.13</v>
      </c>
      <c r="F1243" s="85">
        <v>0</v>
      </c>
      <c r="G1243" s="85">
        <v>18106.240000000002</v>
      </c>
    </row>
    <row r="1244" spans="1:7" x14ac:dyDescent="0.25">
      <c r="A1244" t="s">
        <v>1719</v>
      </c>
      <c r="B1244" t="s">
        <v>591</v>
      </c>
      <c r="C1244" t="s">
        <v>271</v>
      </c>
      <c r="D1244" s="85">
        <v>443.45</v>
      </c>
      <c r="E1244" s="85">
        <v>0</v>
      </c>
      <c r="F1244" s="85">
        <v>0</v>
      </c>
      <c r="G1244" s="85">
        <v>443.45</v>
      </c>
    </row>
    <row r="1245" spans="1:7" x14ac:dyDescent="0.25">
      <c r="A1245" t="s">
        <v>2506</v>
      </c>
      <c r="B1245" t="s">
        <v>2505</v>
      </c>
      <c r="C1245" t="s">
        <v>283</v>
      </c>
      <c r="D1245" s="85">
        <v>443.45</v>
      </c>
      <c r="E1245" s="85">
        <v>0</v>
      </c>
      <c r="F1245" s="85">
        <v>0</v>
      </c>
      <c r="G1245" s="85">
        <v>443.45</v>
      </c>
    </row>
    <row r="1246" spans="1:7" x14ac:dyDescent="0.25">
      <c r="A1246" t="s">
        <v>1720</v>
      </c>
      <c r="B1246" t="s">
        <v>1721</v>
      </c>
      <c r="C1246" t="s">
        <v>271</v>
      </c>
      <c r="D1246" s="85">
        <v>3262398.37</v>
      </c>
      <c r="E1246" s="85">
        <v>328446</v>
      </c>
      <c r="F1246" s="85">
        <v>21799.7</v>
      </c>
      <c r="G1246" s="85">
        <v>3569044.67</v>
      </c>
    </row>
    <row r="1247" spans="1:7" x14ac:dyDescent="0.25">
      <c r="A1247" t="s">
        <v>1722</v>
      </c>
      <c r="B1247" t="s">
        <v>1721</v>
      </c>
      <c r="C1247" t="s">
        <v>271</v>
      </c>
      <c r="D1247" s="85">
        <v>3569983.37</v>
      </c>
      <c r="E1247" s="85">
        <v>328446</v>
      </c>
      <c r="F1247" s="85">
        <v>0</v>
      </c>
      <c r="G1247" s="85">
        <v>3898429.37</v>
      </c>
    </row>
    <row r="1248" spans="1:7" x14ac:dyDescent="0.25">
      <c r="A1248" t="s">
        <v>1723</v>
      </c>
      <c r="B1248" t="s">
        <v>586</v>
      </c>
      <c r="C1248" t="s">
        <v>271</v>
      </c>
      <c r="D1248" s="85">
        <v>898483.8</v>
      </c>
      <c r="E1248" s="85">
        <v>84140.84</v>
      </c>
      <c r="F1248" s="85">
        <v>0</v>
      </c>
      <c r="G1248" s="85">
        <v>982624.64</v>
      </c>
    </row>
    <row r="1249" spans="1:7" x14ac:dyDescent="0.25">
      <c r="A1249" t="s">
        <v>1724</v>
      </c>
      <c r="B1249" t="s">
        <v>1721</v>
      </c>
      <c r="C1249" t="s">
        <v>283</v>
      </c>
      <c r="D1249" s="85">
        <v>898483.8</v>
      </c>
      <c r="E1249" s="85">
        <v>84140.84</v>
      </c>
      <c r="F1249" s="85">
        <v>0</v>
      </c>
      <c r="G1249" s="85">
        <v>982624.64</v>
      </c>
    </row>
    <row r="1250" spans="1:7" x14ac:dyDescent="0.25">
      <c r="A1250" t="s">
        <v>1725</v>
      </c>
      <c r="B1250" t="s">
        <v>302</v>
      </c>
      <c r="C1250" t="s">
        <v>271</v>
      </c>
      <c r="D1250" s="85">
        <v>2626704.06</v>
      </c>
      <c r="E1250" s="85">
        <v>238776.62</v>
      </c>
      <c r="F1250" s="85">
        <v>0</v>
      </c>
      <c r="G1250" s="85">
        <v>2865480.68</v>
      </c>
    </row>
    <row r="1251" spans="1:7" x14ac:dyDescent="0.25">
      <c r="A1251" t="s">
        <v>1726</v>
      </c>
      <c r="B1251" t="s">
        <v>1721</v>
      </c>
      <c r="C1251" t="s">
        <v>283</v>
      </c>
      <c r="D1251" s="85">
        <v>2626704.06</v>
      </c>
      <c r="E1251" s="85">
        <v>238776.62</v>
      </c>
      <c r="F1251" s="85">
        <v>0</v>
      </c>
      <c r="G1251" s="85">
        <v>2865480.68</v>
      </c>
    </row>
    <row r="1252" spans="1:7" x14ac:dyDescent="0.25">
      <c r="A1252" t="s">
        <v>1727</v>
      </c>
      <c r="B1252" t="s">
        <v>591</v>
      </c>
      <c r="C1252" t="s">
        <v>271</v>
      </c>
      <c r="D1252" s="85">
        <v>44795.51</v>
      </c>
      <c r="E1252" s="85">
        <v>5528.54</v>
      </c>
      <c r="F1252" s="85">
        <v>0</v>
      </c>
      <c r="G1252" s="85">
        <v>50324.05</v>
      </c>
    </row>
    <row r="1253" spans="1:7" x14ac:dyDescent="0.25">
      <c r="A1253" t="s">
        <v>1728</v>
      </c>
      <c r="B1253" t="s">
        <v>1729</v>
      </c>
      <c r="C1253" t="s">
        <v>283</v>
      </c>
      <c r="D1253" s="85">
        <v>44795.51</v>
      </c>
      <c r="E1253" s="85">
        <v>5528.54</v>
      </c>
      <c r="F1253" s="85">
        <v>0</v>
      </c>
      <c r="G1253" s="85">
        <v>50324.05</v>
      </c>
    </row>
    <row r="1254" spans="1:7" x14ac:dyDescent="0.25">
      <c r="A1254" t="s">
        <v>2944</v>
      </c>
      <c r="B1254" t="s">
        <v>2921</v>
      </c>
      <c r="C1254" t="s">
        <v>271</v>
      </c>
      <c r="D1254" s="85">
        <v>-307585</v>
      </c>
      <c r="E1254" s="85">
        <v>0</v>
      </c>
      <c r="F1254" s="85">
        <v>21799.7</v>
      </c>
      <c r="G1254" s="85">
        <v>-329384.7</v>
      </c>
    </row>
    <row r="1255" spans="1:7" x14ac:dyDescent="0.25">
      <c r="A1255" t="s">
        <v>2945</v>
      </c>
      <c r="B1255" t="s">
        <v>586</v>
      </c>
      <c r="C1255" t="s">
        <v>271</v>
      </c>
      <c r="D1255" s="85">
        <v>-77689.91</v>
      </c>
      <c r="E1255" s="85">
        <v>0</v>
      </c>
      <c r="F1255" s="85">
        <v>5584.61</v>
      </c>
      <c r="G1255" s="85">
        <v>-83274.52</v>
      </c>
    </row>
    <row r="1256" spans="1:7" x14ac:dyDescent="0.25">
      <c r="A1256" t="s">
        <v>2946</v>
      </c>
      <c r="B1256" t="s">
        <v>2284</v>
      </c>
      <c r="C1256" t="s">
        <v>283</v>
      </c>
      <c r="D1256" s="85">
        <v>-77689.91</v>
      </c>
      <c r="E1256" s="85">
        <v>0</v>
      </c>
      <c r="F1256" s="85">
        <v>5584.61</v>
      </c>
      <c r="G1256" s="85">
        <v>-83274.52</v>
      </c>
    </row>
    <row r="1257" spans="1:7" x14ac:dyDescent="0.25">
      <c r="A1257" t="s">
        <v>2947</v>
      </c>
      <c r="B1257" t="s">
        <v>302</v>
      </c>
      <c r="C1257" t="s">
        <v>271</v>
      </c>
      <c r="D1257" s="85">
        <v>-227024.59</v>
      </c>
      <c r="E1257" s="85">
        <v>0</v>
      </c>
      <c r="F1257" s="85">
        <v>15848.15</v>
      </c>
      <c r="G1257" s="85">
        <v>-242872.74</v>
      </c>
    </row>
    <row r="1258" spans="1:7" x14ac:dyDescent="0.25">
      <c r="A1258" t="s">
        <v>2948</v>
      </c>
      <c r="B1258" t="s">
        <v>2284</v>
      </c>
      <c r="C1258" t="s">
        <v>283</v>
      </c>
      <c r="D1258" s="85">
        <v>-227024.59</v>
      </c>
      <c r="E1258" s="85">
        <v>0</v>
      </c>
      <c r="F1258" s="85">
        <v>15848.15</v>
      </c>
      <c r="G1258" s="85">
        <v>-242872.74</v>
      </c>
    </row>
    <row r="1259" spans="1:7" x14ac:dyDescent="0.25">
      <c r="A1259" t="s">
        <v>2949</v>
      </c>
      <c r="B1259" t="s">
        <v>591</v>
      </c>
      <c r="C1259" t="s">
        <v>271</v>
      </c>
      <c r="D1259" s="85">
        <v>-2870.5</v>
      </c>
      <c r="E1259" s="85">
        <v>0</v>
      </c>
      <c r="F1259" s="85">
        <v>366.94</v>
      </c>
      <c r="G1259" s="85">
        <v>-3237.44</v>
      </c>
    </row>
    <row r="1260" spans="1:7" x14ac:dyDescent="0.25">
      <c r="A1260" t="s">
        <v>2950</v>
      </c>
      <c r="B1260" t="s">
        <v>2284</v>
      </c>
      <c r="C1260" t="s">
        <v>283</v>
      </c>
      <c r="D1260" s="85">
        <v>-2870.5</v>
      </c>
      <c r="E1260" s="85">
        <v>0</v>
      </c>
      <c r="F1260" s="85">
        <v>366.94</v>
      </c>
      <c r="G1260" s="85">
        <v>-3237.44</v>
      </c>
    </row>
    <row r="1261" spans="1:7" x14ac:dyDescent="0.25">
      <c r="A1261" t="s">
        <v>1730</v>
      </c>
      <c r="B1261" t="s">
        <v>1731</v>
      </c>
      <c r="C1261" t="s">
        <v>271</v>
      </c>
      <c r="D1261" s="85">
        <v>3117039.79</v>
      </c>
      <c r="E1261" s="85">
        <v>283349.15999999997</v>
      </c>
      <c r="F1261" s="85">
        <v>0.04</v>
      </c>
      <c r="G1261" s="85">
        <v>3400388.91</v>
      </c>
    </row>
    <row r="1262" spans="1:7" x14ac:dyDescent="0.25">
      <c r="A1262" t="s">
        <v>1732</v>
      </c>
      <c r="B1262" t="s">
        <v>1731</v>
      </c>
      <c r="C1262" t="s">
        <v>271</v>
      </c>
      <c r="D1262" s="85">
        <v>3117039.79</v>
      </c>
      <c r="E1262" s="85">
        <v>283349.15999999997</v>
      </c>
      <c r="F1262" s="85">
        <v>0.04</v>
      </c>
      <c r="G1262" s="85">
        <v>3400388.91</v>
      </c>
    </row>
    <row r="1263" spans="1:7" x14ac:dyDescent="0.25">
      <c r="A1263" t="s">
        <v>1733</v>
      </c>
      <c r="B1263" t="s">
        <v>302</v>
      </c>
      <c r="C1263" t="s">
        <v>271</v>
      </c>
      <c r="D1263" s="85">
        <v>3117039.79</v>
      </c>
      <c r="E1263" s="85">
        <v>283349.15999999997</v>
      </c>
      <c r="F1263" s="85">
        <v>0.04</v>
      </c>
      <c r="G1263" s="85">
        <v>3400388.91</v>
      </c>
    </row>
    <row r="1264" spans="1:7" x14ac:dyDescent="0.25">
      <c r="A1264" t="s">
        <v>1734</v>
      </c>
      <c r="B1264" t="s">
        <v>1735</v>
      </c>
      <c r="C1264" t="s">
        <v>283</v>
      </c>
      <c r="D1264" s="85">
        <v>3116287.39</v>
      </c>
      <c r="E1264" s="85">
        <v>283280.76</v>
      </c>
      <c r="F1264" s="85">
        <v>0.04</v>
      </c>
      <c r="G1264" s="85">
        <v>3399568.11</v>
      </c>
    </row>
    <row r="1265" spans="1:7" x14ac:dyDescent="0.25">
      <c r="A1265" t="s">
        <v>1736</v>
      </c>
      <c r="B1265" t="s">
        <v>1737</v>
      </c>
      <c r="C1265" t="s">
        <v>283</v>
      </c>
      <c r="D1265" s="85">
        <v>752.4</v>
      </c>
      <c r="E1265" s="85">
        <v>68.400000000000006</v>
      </c>
      <c r="F1265" s="85">
        <v>0</v>
      </c>
      <c r="G1265" s="85">
        <v>820.8</v>
      </c>
    </row>
    <row r="1266" spans="1:7" x14ac:dyDescent="0.25">
      <c r="A1266" t="s">
        <v>1738</v>
      </c>
      <c r="B1266" t="s">
        <v>1739</v>
      </c>
      <c r="C1266" t="s">
        <v>271</v>
      </c>
      <c r="D1266" s="85">
        <v>68880.25</v>
      </c>
      <c r="E1266" s="85">
        <v>7899.73</v>
      </c>
      <c r="F1266" s="85">
        <v>0.06</v>
      </c>
      <c r="G1266" s="85">
        <v>76779.92</v>
      </c>
    </row>
    <row r="1267" spans="1:7" x14ac:dyDescent="0.25">
      <c r="A1267" t="s">
        <v>1740</v>
      </c>
      <c r="B1267" t="s">
        <v>1741</v>
      </c>
      <c r="C1267" t="s">
        <v>271</v>
      </c>
      <c r="D1267" s="85">
        <v>550.49</v>
      </c>
      <c r="E1267" s="85">
        <v>153.09</v>
      </c>
      <c r="F1267" s="85">
        <v>0</v>
      </c>
      <c r="G1267" s="85">
        <v>703.58</v>
      </c>
    </row>
    <row r="1268" spans="1:7" x14ac:dyDescent="0.25">
      <c r="A1268" t="s">
        <v>1742</v>
      </c>
      <c r="B1268" t="s">
        <v>302</v>
      </c>
      <c r="C1268" t="s">
        <v>271</v>
      </c>
      <c r="D1268" s="85">
        <v>550.49</v>
      </c>
      <c r="E1268" s="85">
        <v>153.09</v>
      </c>
      <c r="F1268" s="85">
        <v>0</v>
      </c>
      <c r="G1268" s="85">
        <v>703.58</v>
      </c>
    </row>
    <row r="1269" spans="1:7" x14ac:dyDescent="0.25">
      <c r="A1269" t="s">
        <v>1743</v>
      </c>
      <c r="B1269" t="s">
        <v>1741</v>
      </c>
      <c r="C1269" t="s">
        <v>283</v>
      </c>
      <c r="D1269" s="85">
        <v>550.49</v>
      </c>
      <c r="E1269" s="85">
        <v>153.09</v>
      </c>
      <c r="F1269" s="85">
        <v>0</v>
      </c>
      <c r="G1269" s="85">
        <v>703.58</v>
      </c>
    </row>
    <row r="1270" spans="1:7" x14ac:dyDescent="0.25">
      <c r="A1270" t="s">
        <v>1744</v>
      </c>
      <c r="B1270" t="s">
        <v>331</v>
      </c>
      <c r="C1270" t="s">
        <v>271</v>
      </c>
      <c r="D1270" s="85">
        <v>68329.759999999995</v>
      </c>
      <c r="E1270" s="85">
        <v>7746.64</v>
      </c>
      <c r="F1270" s="85">
        <v>0.06</v>
      </c>
      <c r="G1270" s="85">
        <v>76076.34</v>
      </c>
    </row>
    <row r="1271" spans="1:7" x14ac:dyDescent="0.25">
      <c r="A1271" t="s">
        <v>1745</v>
      </c>
      <c r="B1271" t="s">
        <v>302</v>
      </c>
      <c r="C1271" t="s">
        <v>271</v>
      </c>
      <c r="D1271" s="85">
        <v>68246.98</v>
      </c>
      <c r="E1271" s="85">
        <v>7657.86</v>
      </c>
      <c r="F1271" s="85">
        <v>0.06</v>
      </c>
      <c r="G1271" s="85">
        <v>75904.78</v>
      </c>
    </row>
    <row r="1272" spans="1:7" x14ac:dyDescent="0.25">
      <c r="A1272" t="s">
        <v>2951</v>
      </c>
      <c r="B1272" t="s">
        <v>2024</v>
      </c>
      <c r="C1272" t="s">
        <v>283</v>
      </c>
      <c r="D1272" s="85">
        <v>68246.98</v>
      </c>
      <c r="E1272" s="85">
        <v>7657.86</v>
      </c>
      <c r="F1272" s="85">
        <v>0.06</v>
      </c>
      <c r="G1272" s="85">
        <v>75904.78</v>
      </c>
    </row>
    <row r="1273" spans="1:7" x14ac:dyDescent="0.25">
      <c r="A1273" t="s">
        <v>2291</v>
      </c>
      <c r="B1273" t="s">
        <v>591</v>
      </c>
      <c r="C1273" t="s">
        <v>271</v>
      </c>
      <c r="D1273" s="85">
        <v>82.78</v>
      </c>
      <c r="E1273" s="85">
        <v>88.78</v>
      </c>
      <c r="F1273" s="85">
        <v>0</v>
      </c>
      <c r="G1273" s="85">
        <v>171.56</v>
      </c>
    </row>
    <row r="1274" spans="1:7" x14ac:dyDescent="0.25">
      <c r="A1274" t="s">
        <v>2952</v>
      </c>
      <c r="B1274" t="s">
        <v>2953</v>
      </c>
      <c r="C1274" t="s">
        <v>283</v>
      </c>
      <c r="D1274" s="85">
        <v>0</v>
      </c>
      <c r="E1274" s="85">
        <v>88.78</v>
      </c>
      <c r="F1274" s="85">
        <v>0</v>
      </c>
      <c r="G1274" s="85">
        <v>88.78</v>
      </c>
    </row>
    <row r="1275" spans="1:7" x14ac:dyDescent="0.25">
      <c r="A1275" t="s">
        <v>2292</v>
      </c>
      <c r="B1275" t="s">
        <v>1940</v>
      </c>
      <c r="C1275" t="s">
        <v>283</v>
      </c>
      <c r="D1275" s="85">
        <v>82.78</v>
      </c>
      <c r="E1275" s="85">
        <v>0</v>
      </c>
      <c r="F1275" s="85">
        <v>0</v>
      </c>
      <c r="G1275" s="85">
        <v>82.78</v>
      </c>
    </row>
    <row r="1276" spans="1:7" x14ac:dyDescent="0.25">
      <c r="A1276" t="s">
        <v>1746</v>
      </c>
      <c r="B1276" t="s">
        <v>1747</v>
      </c>
      <c r="C1276" t="s">
        <v>271</v>
      </c>
      <c r="D1276" s="85">
        <v>2741675.24</v>
      </c>
      <c r="E1276" s="85">
        <v>0</v>
      </c>
      <c r="F1276" s="85">
        <v>0</v>
      </c>
      <c r="G1276" s="85">
        <v>2741675.24</v>
      </c>
    </row>
    <row r="1277" spans="1:7" x14ac:dyDescent="0.25">
      <c r="A1277" t="s">
        <v>1748</v>
      </c>
      <c r="B1277" t="s">
        <v>1568</v>
      </c>
      <c r="C1277" t="s">
        <v>271</v>
      </c>
      <c r="D1277" s="85">
        <v>1575486.29</v>
      </c>
      <c r="E1277" s="85">
        <v>0</v>
      </c>
      <c r="F1277" s="85">
        <v>0</v>
      </c>
      <c r="G1277" s="85">
        <v>1575486.29</v>
      </c>
    </row>
    <row r="1278" spans="1:7" x14ac:dyDescent="0.25">
      <c r="A1278" t="s">
        <v>1749</v>
      </c>
      <c r="B1278" t="s">
        <v>1750</v>
      </c>
      <c r="C1278" t="s">
        <v>283</v>
      </c>
      <c r="D1278" s="85">
        <v>1575486.29</v>
      </c>
      <c r="E1278" s="85">
        <v>0</v>
      </c>
      <c r="F1278" s="85">
        <v>0</v>
      </c>
      <c r="G1278" s="85">
        <v>1575486.29</v>
      </c>
    </row>
    <row r="1279" spans="1:7" x14ac:dyDescent="0.25">
      <c r="A1279" t="s">
        <v>1751</v>
      </c>
      <c r="B1279" t="s">
        <v>1610</v>
      </c>
      <c r="C1279" t="s">
        <v>271</v>
      </c>
      <c r="D1279" s="85">
        <v>436199.79</v>
      </c>
      <c r="E1279" s="85">
        <v>0</v>
      </c>
      <c r="F1279" s="85">
        <v>0</v>
      </c>
      <c r="G1279" s="85">
        <v>436199.79</v>
      </c>
    </row>
    <row r="1280" spans="1:7" x14ac:dyDescent="0.25">
      <c r="A1280" t="s">
        <v>1752</v>
      </c>
      <c r="B1280" t="s">
        <v>1753</v>
      </c>
      <c r="C1280" t="s">
        <v>283</v>
      </c>
      <c r="D1280" s="85">
        <v>436199.79</v>
      </c>
      <c r="E1280" s="85">
        <v>0</v>
      </c>
      <c r="F1280" s="85">
        <v>0</v>
      </c>
      <c r="G1280" s="85">
        <v>436199.79</v>
      </c>
    </row>
    <row r="1281" spans="1:7" x14ac:dyDescent="0.25">
      <c r="A1281" t="s">
        <v>1754</v>
      </c>
      <c r="B1281" t="s">
        <v>1620</v>
      </c>
      <c r="C1281" t="s">
        <v>271</v>
      </c>
      <c r="D1281" s="85">
        <v>145881.17000000001</v>
      </c>
      <c r="E1281" s="85">
        <v>0</v>
      </c>
      <c r="F1281" s="85">
        <v>0</v>
      </c>
      <c r="G1281" s="85">
        <v>145881.17000000001</v>
      </c>
    </row>
    <row r="1282" spans="1:7" x14ac:dyDescent="0.25">
      <c r="A1282" t="s">
        <v>1755</v>
      </c>
      <c r="B1282" t="s">
        <v>1756</v>
      </c>
      <c r="C1282" t="s">
        <v>283</v>
      </c>
      <c r="D1282" s="85">
        <v>145881.17000000001</v>
      </c>
      <c r="E1282" s="85">
        <v>0</v>
      </c>
      <c r="F1282" s="85">
        <v>0</v>
      </c>
      <c r="G1282" s="85">
        <v>145881.17000000001</v>
      </c>
    </row>
    <row r="1283" spans="1:7" x14ac:dyDescent="0.25">
      <c r="A1283" t="s">
        <v>2954</v>
      </c>
      <c r="B1283" t="s">
        <v>2955</v>
      </c>
      <c r="C1283" t="s">
        <v>271</v>
      </c>
      <c r="D1283" s="85">
        <v>122718.6</v>
      </c>
      <c r="E1283" s="85">
        <v>0</v>
      </c>
      <c r="F1283" s="85">
        <v>0</v>
      </c>
      <c r="G1283" s="85">
        <v>122718.6</v>
      </c>
    </row>
    <row r="1284" spans="1:7" x14ac:dyDescent="0.25">
      <c r="A1284" t="s">
        <v>2956</v>
      </c>
      <c r="B1284" t="s">
        <v>2957</v>
      </c>
      <c r="C1284" t="s">
        <v>283</v>
      </c>
      <c r="D1284" s="85">
        <v>122718.6</v>
      </c>
      <c r="E1284" s="85">
        <v>0</v>
      </c>
      <c r="F1284" s="85">
        <v>0</v>
      </c>
      <c r="G1284" s="85">
        <v>122718.6</v>
      </c>
    </row>
    <row r="1285" spans="1:7" x14ac:dyDescent="0.25">
      <c r="A1285" t="s">
        <v>1757</v>
      </c>
      <c r="B1285" t="s">
        <v>1630</v>
      </c>
      <c r="C1285" t="s">
        <v>271</v>
      </c>
      <c r="D1285" s="85">
        <v>148788.79999999999</v>
      </c>
      <c r="E1285" s="85">
        <v>0</v>
      </c>
      <c r="F1285" s="85">
        <v>0</v>
      </c>
      <c r="G1285" s="85">
        <v>148788.79999999999</v>
      </c>
    </row>
    <row r="1286" spans="1:7" x14ac:dyDescent="0.25">
      <c r="A1286" t="s">
        <v>1758</v>
      </c>
      <c r="B1286" t="s">
        <v>1759</v>
      </c>
      <c r="C1286" t="s">
        <v>283</v>
      </c>
      <c r="D1286" s="85">
        <v>148788.79999999999</v>
      </c>
      <c r="E1286" s="85">
        <v>0</v>
      </c>
      <c r="F1286" s="85">
        <v>0</v>
      </c>
      <c r="G1286" s="85">
        <v>148788.79999999999</v>
      </c>
    </row>
    <row r="1287" spans="1:7" x14ac:dyDescent="0.25">
      <c r="A1287" t="s">
        <v>1760</v>
      </c>
      <c r="B1287" t="s">
        <v>1640</v>
      </c>
      <c r="C1287" t="s">
        <v>271</v>
      </c>
      <c r="D1287" s="85">
        <v>301209.28000000003</v>
      </c>
      <c r="E1287" s="85">
        <v>0</v>
      </c>
      <c r="F1287" s="85">
        <v>0</v>
      </c>
      <c r="G1287" s="85">
        <v>301209.28000000003</v>
      </c>
    </row>
    <row r="1288" spans="1:7" x14ac:dyDescent="0.25">
      <c r="A1288" t="s">
        <v>1761</v>
      </c>
      <c r="B1288" t="s">
        <v>1762</v>
      </c>
      <c r="C1288" t="s">
        <v>283</v>
      </c>
      <c r="D1288" s="85">
        <v>301209.28000000003</v>
      </c>
      <c r="E1288" s="85">
        <v>0</v>
      </c>
      <c r="F1288" s="85">
        <v>0</v>
      </c>
      <c r="G1288" s="85">
        <v>301209.28000000003</v>
      </c>
    </row>
    <row r="1289" spans="1:7" x14ac:dyDescent="0.25">
      <c r="A1289" t="s">
        <v>1763</v>
      </c>
      <c r="B1289" t="s">
        <v>331</v>
      </c>
      <c r="C1289" t="s">
        <v>271</v>
      </c>
      <c r="D1289" s="85">
        <v>11391.31</v>
      </c>
      <c r="E1289" s="85">
        <v>0</v>
      </c>
      <c r="F1289" s="85">
        <v>0</v>
      </c>
      <c r="G1289" s="85">
        <v>11391.31</v>
      </c>
    </row>
    <row r="1290" spans="1:7" x14ac:dyDescent="0.25">
      <c r="A1290" t="s">
        <v>1764</v>
      </c>
      <c r="B1290" t="s">
        <v>1753</v>
      </c>
      <c r="C1290" t="s">
        <v>283</v>
      </c>
      <c r="D1290" s="85">
        <v>11391.31</v>
      </c>
      <c r="E1290" s="85">
        <v>0</v>
      </c>
      <c r="F1290" s="85">
        <v>0</v>
      </c>
      <c r="G1290" s="85">
        <v>11391.31</v>
      </c>
    </row>
    <row r="1291" spans="1:7" x14ac:dyDescent="0.25">
      <c r="A1291" t="s">
        <v>1765</v>
      </c>
      <c r="B1291" t="s">
        <v>1766</v>
      </c>
      <c r="C1291" t="s">
        <v>271</v>
      </c>
      <c r="D1291" s="85">
        <v>1806303.01</v>
      </c>
      <c r="E1291" s="85">
        <v>0</v>
      </c>
      <c r="F1291" s="85">
        <v>0</v>
      </c>
      <c r="G1291" s="85">
        <v>1806303.01</v>
      </c>
    </row>
    <row r="1292" spans="1:7" x14ac:dyDescent="0.25">
      <c r="A1292" t="s">
        <v>1767</v>
      </c>
      <c r="B1292" t="s">
        <v>1768</v>
      </c>
      <c r="C1292" t="s">
        <v>271</v>
      </c>
      <c r="D1292" s="85">
        <v>1611941.09</v>
      </c>
      <c r="E1292" s="85">
        <v>0</v>
      </c>
      <c r="F1292" s="85">
        <v>0</v>
      </c>
      <c r="G1292" s="85">
        <v>1611941.09</v>
      </c>
    </row>
    <row r="1293" spans="1:7" x14ac:dyDescent="0.25">
      <c r="A1293" t="s">
        <v>1769</v>
      </c>
      <c r="B1293" t="s">
        <v>1753</v>
      </c>
      <c r="C1293" t="s">
        <v>283</v>
      </c>
      <c r="D1293" s="85">
        <v>1611941.09</v>
      </c>
      <c r="E1293" s="85">
        <v>0</v>
      </c>
      <c r="F1293" s="85">
        <v>0</v>
      </c>
      <c r="G1293" s="85">
        <v>1611941.09</v>
      </c>
    </row>
    <row r="1294" spans="1:7" x14ac:dyDescent="0.25">
      <c r="A1294" t="s">
        <v>1770</v>
      </c>
      <c r="B1294" t="s">
        <v>1658</v>
      </c>
      <c r="C1294" t="s">
        <v>271</v>
      </c>
      <c r="D1294" s="85">
        <v>194361.92</v>
      </c>
      <c r="E1294" s="85">
        <v>0</v>
      </c>
      <c r="F1294" s="85">
        <v>0</v>
      </c>
      <c r="G1294" s="85">
        <v>194361.92</v>
      </c>
    </row>
    <row r="1295" spans="1:7" x14ac:dyDescent="0.25">
      <c r="A1295" t="s">
        <v>1771</v>
      </c>
      <c r="B1295" t="s">
        <v>1753</v>
      </c>
      <c r="C1295" t="s">
        <v>283</v>
      </c>
      <c r="D1295" s="85">
        <v>194361.92</v>
      </c>
      <c r="E1295" s="85">
        <v>0</v>
      </c>
      <c r="F1295" s="85">
        <v>0</v>
      </c>
      <c r="G1295" s="85">
        <v>194361.92</v>
      </c>
    </row>
    <row r="1296" spans="1:7" x14ac:dyDescent="0.25">
      <c r="A1296" t="s">
        <v>1772</v>
      </c>
      <c r="B1296" t="s">
        <v>1773</v>
      </c>
      <c r="C1296" t="s">
        <v>271</v>
      </c>
      <c r="D1296" s="85">
        <v>2562694.9900000002</v>
      </c>
      <c r="E1296" s="85">
        <v>0</v>
      </c>
      <c r="F1296" s="85">
        <v>0</v>
      </c>
      <c r="G1296" s="85">
        <v>2562694.9900000002</v>
      </c>
    </row>
    <row r="1297" spans="1:7" x14ac:dyDescent="0.25">
      <c r="A1297" t="s">
        <v>1774</v>
      </c>
      <c r="B1297" t="s">
        <v>1660</v>
      </c>
      <c r="C1297" t="s">
        <v>271</v>
      </c>
      <c r="D1297" s="85">
        <v>2554223.9900000002</v>
      </c>
      <c r="E1297" s="85">
        <v>0</v>
      </c>
      <c r="F1297" s="85">
        <v>0</v>
      </c>
      <c r="G1297" s="85">
        <v>2554223.9900000002</v>
      </c>
    </row>
    <row r="1298" spans="1:7" x14ac:dyDescent="0.25">
      <c r="A1298" t="s">
        <v>1775</v>
      </c>
      <c r="B1298" t="s">
        <v>1753</v>
      </c>
      <c r="C1298" t="s">
        <v>283</v>
      </c>
      <c r="D1298" s="85">
        <v>2554223.9900000002</v>
      </c>
      <c r="E1298" s="85">
        <v>0</v>
      </c>
      <c r="F1298" s="85">
        <v>0</v>
      </c>
      <c r="G1298" s="85">
        <v>2554223.9900000002</v>
      </c>
    </row>
    <row r="1299" spans="1:7" x14ac:dyDescent="0.25">
      <c r="A1299" t="s">
        <v>1776</v>
      </c>
      <c r="B1299" t="s">
        <v>331</v>
      </c>
      <c r="C1299" t="s">
        <v>271</v>
      </c>
      <c r="D1299" s="85">
        <v>8471</v>
      </c>
      <c r="E1299" s="85">
        <v>0</v>
      </c>
      <c r="F1299" s="85">
        <v>0</v>
      </c>
      <c r="G1299" s="85">
        <v>8471</v>
      </c>
    </row>
    <row r="1300" spans="1:7" x14ac:dyDescent="0.25">
      <c r="A1300" t="s">
        <v>1777</v>
      </c>
      <c r="B1300" t="s">
        <v>1778</v>
      </c>
      <c r="C1300" t="s">
        <v>283</v>
      </c>
      <c r="D1300" s="85">
        <v>8471</v>
      </c>
      <c r="E1300" s="85">
        <v>0</v>
      </c>
      <c r="F1300" s="85">
        <v>0</v>
      </c>
      <c r="G1300" s="85">
        <v>8471</v>
      </c>
    </row>
    <row r="1301" spans="1:7" x14ac:dyDescent="0.25">
      <c r="A1301" t="s">
        <v>1779</v>
      </c>
      <c r="B1301" t="s">
        <v>1780</v>
      </c>
      <c r="C1301" t="s">
        <v>271</v>
      </c>
      <c r="D1301" s="85">
        <v>1625736.8</v>
      </c>
      <c r="E1301" s="85">
        <v>0</v>
      </c>
      <c r="F1301" s="85">
        <v>0</v>
      </c>
      <c r="G1301" s="85">
        <v>1625736.8</v>
      </c>
    </row>
    <row r="1302" spans="1:7" x14ac:dyDescent="0.25">
      <c r="A1302" t="s">
        <v>1781</v>
      </c>
      <c r="B1302" t="s">
        <v>1677</v>
      </c>
      <c r="C1302" t="s">
        <v>271</v>
      </c>
      <c r="D1302" s="85">
        <v>1625736.8</v>
      </c>
      <c r="E1302" s="85">
        <v>0</v>
      </c>
      <c r="F1302" s="85">
        <v>0</v>
      </c>
      <c r="G1302" s="85">
        <v>1625736.8</v>
      </c>
    </row>
    <row r="1303" spans="1:7" x14ac:dyDescent="0.25">
      <c r="A1303" t="s">
        <v>1782</v>
      </c>
      <c r="B1303" t="s">
        <v>1753</v>
      </c>
      <c r="C1303" t="s">
        <v>283</v>
      </c>
      <c r="D1303" s="85">
        <v>1625736.8</v>
      </c>
      <c r="E1303" s="85">
        <v>0</v>
      </c>
      <c r="F1303" s="85">
        <v>0</v>
      </c>
      <c r="G1303" s="85">
        <v>1625736.8</v>
      </c>
    </row>
    <row r="1304" spans="1:7" x14ac:dyDescent="0.25">
      <c r="A1304" t="s">
        <v>1783</v>
      </c>
      <c r="B1304" t="s">
        <v>1784</v>
      </c>
      <c r="C1304" t="s">
        <v>271</v>
      </c>
      <c r="D1304" s="85">
        <v>20465.689999999999</v>
      </c>
      <c r="E1304" s="85">
        <v>0</v>
      </c>
      <c r="F1304" s="85">
        <v>0</v>
      </c>
      <c r="G1304" s="85">
        <v>20465.689999999999</v>
      </c>
    </row>
    <row r="1305" spans="1:7" x14ac:dyDescent="0.25">
      <c r="A1305" t="s">
        <v>1785</v>
      </c>
      <c r="B1305" t="s">
        <v>1702</v>
      </c>
      <c r="C1305" t="s">
        <v>271</v>
      </c>
      <c r="D1305" s="85">
        <v>20465.689999999999</v>
      </c>
      <c r="E1305" s="85">
        <v>0</v>
      </c>
      <c r="F1305" s="85">
        <v>0</v>
      </c>
      <c r="G1305" s="85">
        <v>20465.689999999999</v>
      </c>
    </row>
    <row r="1306" spans="1:7" x14ac:dyDescent="0.25">
      <c r="A1306" t="s">
        <v>1786</v>
      </c>
      <c r="B1306" t="s">
        <v>1753</v>
      </c>
      <c r="C1306" t="s">
        <v>283</v>
      </c>
      <c r="D1306" s="85">
        <v>20465.689999999999</v>
      </c>
      <c r="E1306" s="85">
        <v>0</v>
      </c>
      <c r="F1306" s="85">
        <v>0</v>
      </c>
      <c r="G1306" s="85">
        <v>20465.689999999999</v>
      </c>
    </row>
    <row r="1307" spans="1:7" x14ac:dyDescent="0.25">
      <c r="A1307" t="s">
        <v>1787</v>
      </c>
      <c r="B1307" t="s">
        <v>1788</v>
      </c>
      <c r="C1307" t="s">
        <v>271</v>
      </c>
      <c r="D1307" s="85">
        <v>-230276.28</v>
      </c>
      <c r="E1307" s="85">
        <v>0</v>
      </c>
      <c r="F1307" s="85">
        <v>0</v>
      </c>
      <c r="G1307" s="85">
        <v>-230276.28</v>
      </c>
    </row>
    <row r="1308" spans="1:7" x14ac:dyDescent="0.25">
      <c r="A1308" t="s">
        <v>2958</v>
      </c>
      <c r="B1308" t="s">
        <v>2959</v>
      </c>
      <c r="C1308" t="s">
        <v>271</v>
      </c>
      <c r="D1308" s="85">
        <v>-230276.28</v>
      </c>
      <c r="E1308" s="85">
        <v>0</v>
      </c>
      <c r="F1308" s="85">
        <v>0</v>
      </c>
      <c r="G1308" s="85">
        <v>-230276.28</v>
      </c>
    </row>
    <row r="1309" spans="1:7" x14ac:dyDescent="0.25">
      <c r="A1309" t="s">
        <v>2960</v>
      </c>
      <c r="B1309" t="s">
        <v>1753</v>
      </c>
      <c r="C1309" t="s">
        <v>283</v>
      </c>
      <c r="D1309" s="85">
        <v>-230276.28</v>
      </c>
      <c r="E1309" s="85">
        <v>0</v>
      </c>
      <c r="F1309" s="85">
        <v>0</v>
      </c>
      <c r="G1309" s="85">
        <v>-230276.28</v>
      </c>
    </row>
    <row r="1310" spans="1:7" x14ac:dyDescent="0.25">
      <c r="A1310" t="s">
        <v>1789</v>
      </c>
      <c r="B1310" t="s">
        <v>1790</v>
      </c>
      <c r="C1310" t="s">
        <v>271</v>
      </c>
      <c r="D1310" s="85">
        <v>12368.12</v>
      </c>
      <c r="E1310" s="85">
        <v>0</v>
      </c>
      <c r="F1310" s="85">
        <v>0</v>
      </c>
      <c r="G1310" s="85">
        <v>12368.12</v>
      </c>
    </row>
    <row r="1311" spans="1:7" x14ac:dyDescent="0.25">
      <c r="A1311" t="s">
        <v>1791</v>
      </c>
      <c r="B1311" t="s">
        <v>1042</v>
      </c>
      <c r="C1311" t="s">
        <v>271</v>
      </c>
      <c r="D1311" s="85">
        <v>12368.12</v>
      </c>
      <c r="E1311" s="85">
        <v>0</v>
      </c>
      <c r="F1311" s="85">
        <v>0</v>
      </c>
      <c r="G1311" s="85">
        <v>12368.12</v>
      </c>
    </row>
    <row r="1312" spans="1:7" x14ac:dyDescent="0.25">
      <c r="A1312" t="s">
        <v>1792</v>
      </c>
      <c r="B1312" t="s">
        <v>1753</v>
      </c>
      <c r="C1312" t="s">
        <v>283</v>
      </c>
      <c r="D1312" s="85">
        <v>12368.12</v>
      </c>
      <c r="E1312" s="85">
        <v>0</v>
      </c>
      <c r="F1312" s="85">
        <v>0</v>
      </c>
      <c r="G1312" s="85">
        <v>12368.12</v>
      </c>
    </row>
    <row r="1313" spans="1:7" x14ac:dyDescent="0.25">
      <c r="A1313" t="s">
        <v>1793</v>
      </c>
      <c r="B1313" t="s">
        <v>1794</v>
      </c>
      <c r="C1313" t="s">
        <v>271</v>
      </c>
      <c r="D1313" s="85">
        <v>144146.56</v>
      </c>
      <c r="E1313" s="85">
        <v>0</v>
      </c>
      <c r="F1313" s="85">
        <v>0</v>
      </c>
      <c r="G1313" s="85">
        <v>144146.56</v>
      </c>
    </row>
    <row r="1314" spans="1:7" x14ac:dyDescent="0.25">
      <c r="A1314" t="s">
        <v>1795</v>
      </c>
      <c r="B1314" t="s">
        <v>1721</v>
      </c>
      <c r="C1314" t="s">
        <v>271</v>
      </c>
      <c r="D1314" s="85">
        <v>144146.56</v>
      </c>
      <c r="E1314" s="85">
        <v>0</v>
      </c>
      <c r="F1314" s="85">
        <v>0</v>
      </c>
      <c r="G1314" s="85">
        <v>144146.56</v>
      </c>
    </row>
    <row r="1315" spans="1:7" x14ac:dyDescent="0.25">
      <c r="A1315" t="s">
        <v>1796</v>
      </c>
      <c r="B1315" t="s">
        <v>1721</v>
      </c>
      <c r="C1315" t="s">
        <v>283</v>
      </c>
      <c r="D1315" s="85">
        <v>144146.56</v>
      </c>
      <c r="E1315" s="85">
        <v>0</v>
      </c>
      <c r="F1315" s="85">
        <v>0</v>
      </c>
      <c r="G1315" s="85">
        <v>144146.56</v>
      </c>
    </row>
    <row r="1316" spans="1:7" x14ac:dyDescent="0.25">
      <c r="A1316" t="s">
        <v>2961</v>
      </c>
      <c r="B1316" t="s">
        <v>2962</v>
      </c>
      <c r="C1316" t="s">
        <v>271</v>
      </c>
      <c r="D1316" s="85">
        <v>308399.02</v>
      </c>
      <c r="E1316" s="85">
        <v>0</v>
      </c>
      <c r="F1316" s="85">
        <v>0</v>
      </c>
      <c r="G1316" s="85">
        <v>308399.02</v>
      </c>
    </row>
    <row r="1317" spans="1:7" x14ac:dyDescent="0.25">
      <c r="A1317" t="s">
        <v>2963</v>
      </c>
      <c r="B1317" t="s">
        <v>1731</v>
      </c>
      <c r="C1317" t="s">
        <v>271</v>
      </c>
      <c r="D1317" s="85">
        <v>308399.02</v>
      </c>
      <c r="E1317" s="85">
        <v>0</v>
      </c>
      <c r="F1317" s="85">
        <v>0</v>
      </c>
      <c r="G1317" s="85">
        <v>308399.02</v>
      </c>
    </row>
    <row r="1318" spans="1:7" x14ac:dyDescent="0.25">
      <c r="A1318" t="s">
        <v>2964</v>
      </c>
      <c r="B1318" t="s">
        <v>1731</v>
      </c>
      <c r="C1318" t="s">
        <v>283</v>
      </c>
      <c r="D1318" s="85">
        <v>308399.02</v>
      </c>
      <c r="E1318" s="85">
        <v>0</v>
      </c>
      <c r="F1318" s="85">
        <v>0</v>
      </c>
      <c r="G1318" s="85">
        <v>308399.02</v>
      </c>
    </row>
    <row r="1319" spans="1:7" x14ac:dyDescent="0.25">
      <c r="A1319" t="s">
        <v>1797</v>
      </c>
      <c r="B1319" t="s">
        <v>1798</v>
      </c>
      <c r="C1319" t="s">
        <v>271</v>
      </c>
      <c r="D1319" s="85">
        <v>150261.54</v>
      </c>
      <c r="E1319" s="85">
        <v>0</v>
      </c>
      <c r="F1319" s="85">
        <v>0</v>
      </c>
      <c r="G1319" s="85">
        <v>150261.54</v>
      </c>
    </row>
    <row r="1320" spans="1:7" x14ac:dyDescent="0.25">
      <c r="A1320" t="s">
        <v>1799</v>
      </c>
      <c r="B1320" t="s">
        <v>1741</v>
      </c>
      <c r="C1320" t="s">
        <v>271</v>
      </c>
      <c r="D1320" s="85">
        <v>922.4</v>
      </c>
      <c r="E1320" s="85">
        <v>0</v>
      </c>
      <c r="F1320" s="85">
        <v>0</v>
      </c>
      <c r="G1320" s="85">
        <v>922.4</v>
      </c>
    </row>
    <row r="1321" spans="1:7" x14ac:dyDescent="0.25">
      <c r="A1321" t="s">
        <v>1800</v>
      </c>
      <c r="B1321" t="s">
        <v>1753</v>
      </c>
      <c r="C1321" t="s">
        <v>283</v>
      </c>
      <c r="D1321" s="85">
        <v>922.4</v>
      </c>
      <c r="E1321" s="85">
        <v>0</v>
      </c>
      <c r="F1321" s="85">
        <v>0</v>
      </c>
      <c r="G1321" s="85">
        <v>922.4</v>
      </c>
    </row>
    <row r="1322" spans="1:7" x14ac:dyDescent="0.25">
      <c r="A1322" t="s">
        <v>1801</v>
      </c>
      <c r="B1322" t="s">
        <v>331</v>
      </c>
      <c r="C1322" t="s">
        <v>271</v>
      </c>
      <c r="D1322" s="85">
        <v>149339.14000000001</v>
      </c>
      <c r="E1322" s="85">
        <v>0</v>
      </c>
      <c r="F1322" s="85">
        <v>0</v>
      </c>
      <c r="G1322" s="85">
        <v>149339.14000000001</v>
      </c>
    </row>
    <row r="1323" spans="1:7" x14ac:dyDescent="0.25">
      <c r="A1323" t="s">
        <v>1802</v>
      </c>
      <c r="B1323" t="s">
        <v>1753</v>
      </c>
      <c r="C1323" t="s">
        <v>283</v>
      </c>
      <c r="D1323" s="85">
        <v>149339.14000000001</v>
      </c>
      <c r="E1323" s="85">
        <v>0</v>
      </c>
      <c r="F1323" s="85">
        <v>0</v>
      </c>
      <c r="G1323" s="85">
        <v>149339.14000000001</v>
      </c>
    </row>
    <row r="1324" spans="1:7" x14ac:dyDescent="0.25">
      <c r="A1324" t="s">
        <v>1803</v>
      </c>
      <c r="B1324" t="s">
        <v>1804</v>
      </c>
      <c r="C1324" t="s">
        <v>271</v>
      </c>
      <c r="D1324" s="85">
        <v>0</v>
      </c>
      <c r="E1324" s="85">
        <v>1104094.93</v>
      </c>
      <c r="F1324" s="85">
        <v>18567.009999999998</v>
      </c>
      <c r="G1324" s="85">
        <v>1085527.92</v>
      </c>
    </row>
    <row r="1325" spans="1:7" x14ac:dyDescent="0.25">
      <c r="A1325" t="s">
        <v>1805</v>
      </c>
      <c r="B1325" t="s">
        <v>1566</v>
      </c>
      <c r="C1325" t="s">
        <v>271</v>
      </c>
      <c r="D1325" s="85">
        <v>2741675.24</v>
      </c>
      <c r="E1325" s="85">
        <v>244911.69</v>
      </c>
      <c r="F1325" s="85">
        <v>3461.5</v>
      </c>
      <c r="G1325" s="85">
        <v>2983125.43</v>
      </c>
    </row>
    <row r="1326" spans="1:7" x14ac:dyDescent="0.25">
      <c r="A1326" t="s">
        <v>1806</v>
      </c>
      <c r="B1326" t="s">
        <v>1568</v>
      </c>
      <c r="C1326" t="s">
        <v>271</v>
      </c>
      <c r="D1326" s="85">
        <v>1575486.29</v>
      </c>
      <c r="E1326" s="85">
        <v>143469.49</v>
      </c>
      <c r="F1326" s="85">
        <v>3049.7</v>
      </c>
      <c r="G1326" s="85">
        <v>1715906.08</v>
      </c>
    </row>
    <row r="1327" spans="1:7" x14ac:dyDescent="0.25">
      <c r="A1327" t="s">
        <v>2293</v>
      </c>
      <c r="B1327" t="s">
        <v>2294</v>
      </c>
      <c r="C1327" t="s">
        <v>271</v>
      </c>
      <c r="D1327" s="85">
        <v>427298.71</v>
      </c>
      <c r="E1327" s="85">
        <v>38915.81</v>
      </c>
      <c r="F1327" s="85">
        <v>2193.98</v>
      </c>
      <c r="G1327" s="85">
        <v>464020.54</v>
      </c>
    </row>
    <row r="1328" spans="1:7" x14ac:dyDescent="0.25">
      <c r="A1328" t="s">
        <v>2295</v>
      </c>
      <c r="B1328" t="s">
        <v>1571</v>
      </c>
      <c r="C1328" t="s">
        <v>283</v>
      </c>
      <c r="D1328" s="85">
        <v>310088.15000000002</v>
      </c>
      <c r="E1328" s="85">
        <v>26046.36</v>
      </c>
      <c r="F1328" s="85">
        <v>2193.98</v>
      </c>
      <c r="G1328" s="85">
        <v>333940.53000000003</v>
      </c>
    </row>
    <row r="1329" spans="1:7" x14ac:dyDescent="0.25">
      <c r="A1329" t="s">
        <v>2296</v>
      </c>
      <c r="B1329" t="s">
        <v>1573</v>
      </c>
      <c r="C1329" t="s">
        <v>283</v>
      </c>
      <c r="D1329" s="85">
        <v>39744.51</v>
      </c>
      <c r="E1329" s="85">
        <v>3838.41</v>
      </c>
      <c r="F1329" s="85">
        <v>0</v>
      </c>
      <c r="G1329" s="85">
        <v>43582.92</v>
      </c>
    </row>
    <row r="1330" spans="1:7" x14ac:dyDescent="0.25">
      <c r="A1330" t="s">
        <v>2297</v>
      </c>
      <c r="B1330" t="s">
        <v>1575</v>
      </c>
      <c r="C1330" t="s">
        <v>283</v>
      </c>
      <c r="D1330" s="85">
        <v>7045.1</v>
      </c>
      <c r="E1330" s="85">
        <v>1047.8800000000001</v>
      </c>
      <c r="F1330" s="85">
        <v>0</v>
      </c>
      <c r="G1330" s="85">
        <v>8092.98</v>
      </c>
    </row>
    <row r="1331" spans="1:7" x14ac:dyDescent="0.25">
      <c r="A1331" t="s">
        <v>2298</v>
      </c>
      <c r="B1331" t="s">
        <v>1577</v>
      </c>
      <c r="C1331" t="s">
        <v>283</v>
      </c>
      <c r="D1331" s="85">
        <v>2064.48</v>
      </c>
      <c r="E1331" s="85">
        <v>307.06</v>
      </c>
      <c r="F1331" s="85">
        <v>0</v>
      </c>
      <c r="G1331" s="85">
        <v>2371.54</v>
      </c>
    </row>
    <row r="1332" spans="1:7" x14ac:dyDescent="0.25">
      <c r="A1332" t="s">
        <v>2299</v>
      </c>
      <c r="B1332" t="s">
        <v>1579</v>
      </c>
      <c r="C1332" t="s">
        <v>283</v>
      </c>
      <c r="D1332" s="85">
        <v>29841.58</v>
      </c>
      <c r="E1332" s="85">
        <v>2784.32</v>
      </c>
      <c r="F1332" s="85">
        <v>0</v>
      </c>
      <c r="G1332" s="85">
        <v>32625.9</v>
      </c>
    </row>
    <row r="1333" spans="1:7" x14ac:dyDescent="0.25">
      <c r="A1333" t="s">
        <v>2300</v>
      </c>
      <c r="B1333" t="s">
        <v>1581</v>
      </c>
      <c r="C1333" t="s">
        <v>283</v>
      </c>
      <c r="D1333" s="85">
        <v>8146.75</v>
      </c>
      <c r="E1333" s="85">
        <v>760.12</v>
      </c>
      <c r="F1333" s="85">
        <v>0</v>
      </c>
      <c r="G1333" s="85">
        <v>8906.8700000000008</v>
      </c>
    </row>
    <row r="1334" spans="1:7" x14ac:dyDescent="0.25">
      <c r="A1334" t="s">
        <v>2301</v>
      </c>
      <c r="B1334" t="s">
        <v>1583</v>
      </c>
      <c r="C1334" t="s">
        <v>283</v>
      </c>
      <c r="D1334" s="85">
        <v>2387.31</v>
      </c>
      <c r="E1334" s="85">
        <v>222.74</v>
      </c>
      <c r="F1334" s="85">
        <v>0</v>
      </c>
      <c r="G1334" s="85">
        <v>2610.0500000000002</v>
      </c>
    </row>
    <row r="1335" spans="1:7" x14ac:dyDescent="0.25">
      <c r="A1335" t="s">
        <v>2302</v>
      </c>
      <c r="B1335" t="s">
        <v>1585</v>
      </c>
      <c r="C1335" t="s">
        <v>283</v>
      </c>
      <c r="D1335" s="85">
        <v>5522.58</v>
      </c>
      <c r="E1335" s="85">
        <v>554.73</v>
      </c>
      <c r="F1335" s="85">
        <v>0</v>
      </c>
      <c r="G1335" s="85">
        <v>6077.31</v>
      </c>
    </row>
    <row r="1336" spans="1:7" x14ac:dyDescent="0.25">
      <c r="A1336" t="s">
        <v>2303</v>
      </c>
      <c r="B1336" t="s">
        <v>1587</v>
      </c>
      <c r="C1336" t="s">
        <v>283</v>
      </c>
      <c r="D1336" s="85">
        <v>1124.32</v>
      </c>
      <c r="E1336" s="85">
        <v>180</v>
      </c>
      <c r="F1336" s="85">
        <v>0</v>
      </c>
      <c r="G1336" s="85">
        <v>1304.32</v>
      </c>
    </row>
    <row r="1337" spans="1:7" x14ac:dyDescent="0.25">
      <c r="A1337" t="s">
        <v>2304</v>
      </c>
      <c r="B1337" t="s">
        <v>1589</v>
      </c>
      <c r="C1337" t="s">
        <v>283</v>
      </c>
      <c r="D1337" s="85">
        <v>21333.93</v>
      </c>
      <c r="E1337" s="85">
        <v>3174.19</v>
      </c>
      <c r="F1337" s="85">
        <v>0</v>
      </c>
      <c r="G1337" s="85">
        <v>24508.12</v>
      </c>
    </row>
    <row r="1338" spans="1:7" x14ac:dyDescent="0.25">
      <c r="A1338" t="s">
        <v>1807</v>
      </c>
      <c r="B1338" t="s">
        <v>335</v>
      </c>
      <c r="C1338" t="s">
        <v>271</v>
      </c>
      <c r="D1338" s="85">
        <v>1148187.58</v>
      </c>
      <c r="E1338" s="85">
        <v>104553.68</v>
      </c>
      <c r="F1338" s="85">
        <v>855.72</v>
      </c>
      <c r="G1338" s="85">
        <v>1251885.54</v>
      </c>
    </row>
    <row r="1339" spans="1:7" x14ac:dyDescent="0.25">
      <c r="A1339" t="s">
        <v>1808</v>
      </c>
      <c r="B1339" t="s">
        <v>1571</v>
      </c>
      <c r="C1339" t="s">
        <v>283</v>
      </c>
      <c r="D1339" s="85">
        <v>858564.42</v>
      </c>
      <c r="E1339" s="85">
        <v>68910</v>
      </c>
      <c r="F1339" s="85">
        <v>0</v>
      </c>
      <c r="G1339" s="85">
        <v>927474.42</v>
      </c>
    </row>
    <row r="1340" spans="1:7" x14ac:dyDescent="0.25">
      <c r="A1340" t="s">
        <v>1809</v>
      </c>
      <c r="B1340" t="s">
        <v>1810</v>
      </c>
      <c r="C1340" t="s">
        <v>283</v>
      </c>
      <c r="D1340" s="85">
        <v>116401.84</v>
      </c>
      <c r="E1340" s="85">
        <v>10920.49</v>
      </c>
      <c r="F1340" s="85">
        <v>0</v>
      </c>
      <c r="G1340" s="85">
        <v>127322.33</v>
      </c>
    </row>
    <row r="1341" spans="1:7" x14ac:dyDescent="0.25">
      <c r="A1341" t="s">
        <v>1811</v>
      </c>
      <c r="B1341" t="s">
        <v>1575</v>
      </c>
      <c r="C1341" t="s">
        <v>283</v>
      </c>
      <c r="D1341" s="85">
        <v>24219.99</v>
      </c>
      <c r="E1341" s="85">
        <v>2600.88</v>
      </c>
      <c r="F1341" s="85">
        <v>0</v>
      </c>
      <c r="G1341" s="85">
        <v>26820.87</v>
      </c>
    </row>
    <row r="1342" spans="1:7" x14ac:dyDescent="0.25">
      <c r="A1342" t="s">
        <v>1812</v>
      </c>
      <c r="B1342" t="s">
        <v>1577</v>
      </c>
      <c r="C1342" t="s">
        <v>283</v>
      </c>
      <c r="D1342" s="85">
        <v>7138.45</v>
      </c>
      <c r="E1342" s="85">
        <v>762.13</v>
      </c>
      <c r="F1342" s="85">
        <v>0</v>
      </c>
      <c r="G1342" s="85">
        <v>7900.58</v>
      </c>
    </row>
    <row r="1343" spans="1:7" x14ac:dyDescent="0.25">
      <c r="A1343" t="s">
        <v>1813</v>
      </c>
      <c r="B1343" t="s">
        <v>1579</v>
      </c>
      <c r="C1343" t="s">
        <v>283</v>
      </c>
      <c r="D1343" s="85">
        <v>85457.24</v>
      </c>
      <c r="E1343" s="85">
        <v>9137.7000000000007</v>
      </c>
      <c r="F1343" s="85">
        <v>334.95</v>
      </c>
      <c r="G1343" s="85">
        <v>94259.99</v>
      </c>
    </row>
    <row r="1344" spans="1:7" x14ac:dyDescent="0.25">
      <c r="A1344" t="s">
        <v>1814</v>
      </c>
      <c r="B1344" t="s">
        <v>1581</v>
      </c>
      <c r="C1344" t="s">
        <v>283</v>
      </c>
      <c r="D1344" s="85">
        <v>23329.81</v>
      </c>
      <c r="E1344" s="85">
        <v>2494.58</v>
      </c>
      <c r="F1344" s="85">
        <v>0</v>
      </c>
      <c r="G1344" s="85">
        <v>25824.39</v>
      </c>
    </row>
    <row r="1345" spans="1:7" x14ac:dyDescent="0.25">
      <c r="A1345" t="s">
        <v>1815</v>
      </c>
      <c r="B1345" t="s">
        <v>1583</v>
      </c>
      <c r="C1345" t="s">
        <v>283</v>
      </c>
      <c r="D1345" s="85">
        <v>7198.91</v>
      </c>
      <c r="E1345" s="85">
        <v>730.96</v>
      </c>
      <c r="F1345" s="85">
        <v>0.05</v>
      </c>
      <c r="G1345" s="85">
        <v>7929.82</v>
      </c>
    </row>
    <row r="1346" spans="1:7" x14ac:dyDescent="0.25">
      <c r="A1346" t="s">
        <v>1816</v>
      </c>
      <c r="B1346" t="s">
        <v>1585</v>
      </c>
      <c r="C1346" t="s">
        <v>283</v>
      </c>
      <c r="D1346" s="85">
        <v>120387.95</v>
      </c>
      <c r="E1346" s="85">
        <v>8806.61</v>
      </c>
      <c r="F1346" s="85">
        <v>0</v>
      </c>
      <c r="G1346" s="85">
        <v>129194.56</v>
      </c>
    </row>
    <row r="1347" spans="1:7" x14ac:dyDescent="0.25">
      <c r="A1347" t="s">
        <v>1817</v>
      </c>
      <c r="B1347" t="s">
        <v>1587</v>
      </c>
      <c r="C1347" t="s">
        <v>283</v>
      </c>
      <c r="D1347" s="85">
        <v>6035.9</v>
      </c>
      <c r="E1347" s="85">
        <v>190.33</v>
      </c>
      <c r="F1347" s="85">
        <v>0</v>
      </c>
      <c r="G1347" s="85">
        <v>6226.23</v>
      </c>
    </row>
    <row r="1348" spans="1:7" x14ac:dyDescent="0.25">
      <c r="A1348" t="s">
        <v>1818</v>
      </c>
      <c r="B1348" t="s">
        <v>1589</v>
      </c>
      <c r="C1348" t="s">
        <v>283</v>
      </c>
      <c r="D1348" s="85">
        <v>344.54</v>
      </c>
      <c r="E1348" s="85">
        <v>0</v>
      </c>
      <c r="F1348" s="85">
        <v>0</v>
      </c>
      <c r="G1348" s="85">
        <v>344.54</v>
      </c>
    </row>
    <row r="1349" spans="1:7" x14ac:dyDescent="0.25">
      <c r="A1349" t="s">
        <v>1819</v>
      </c>
      <c r="B1349" t="s">
        <v>1820</v>
      </c>
      <c r="C1349" t="s">
        <v>283</v>
      </c>
      <c r="D1349" s="85">
        <v>-100891.47</v>
      </c>
      <c r="E1349" s="85">
        <v>0</v>
      </c>
      <c r="F1349" s="85">
        <v>520.72</v>
      </c>
      <c r="G1349" s="85">
        <v>-101412.19</v>
      </c>
    </row>
    <row r="1350" spans="1:7" x14ac:dyDescent="0.25">
      <c r="A1350" t="s">
        <v>1821</v>
      </c>
      <c r="B1350" t="s">
        <v>1610</v>
      </c>
      <c r="C1350" t="s">
        <v>271</v>
      </c>
      <c r="D1350" s="85">
        <v>436199.79</v>
      </c>
      <c r="E1350" s="85">
        <v>36898.51</v>
      </c>
      <c r="F1350" s="85">
        <v>285.14</v>
      </c>
      <c r="G1350" s="85">
        <v>472813.16</v>
      </c>
    </row>
    <row r="1351" spans="1:7" x14ac:dyDescent="0.25">
      <c r="A1351" t="s">
        <v>2305</v>
      </c>
      <c r="B1351" t="s">
        <v>2294</v>
      </c>
      <c r="C1351" t="s">
        <v>271</v>
      </c>
      <c r="D1351" s="85">
        <v>115860.94</v>
      </c>
      <c r="E1351" s="85">
        <v>9540.3799999999992</v>
      </c>
      <c r="F1351" s="85">
        <v>0</v>
      </c>
      <c r="G1351" s="85">
        <v>125401.32</v>
      </c>
    </row>
    <row r="1352" spans="1:7" x14ac:dyDescent="0.25">
      <c r="A1352" t="s">
        <v>2306</v>
      </c>
      <c r="B1352" t="s">
        <v>1090</v>
      </c>
      <c r="C1352" t="s">
        <v>283</v>
      </c>
      <c r="D1352" s="85">
        <v>89347.43</v>
      </c>
      <c r="E1352" s="85">
        <v>7378.27</v>
      </c>
      <c r="F1352" s="85">
        <v>0</v>
      </c>
      <c r="G1352" s="85">
        <v>96725.7</v>
      </c>
    </row>
    <row r="1353" spans="1:7" x14ac:dyDescent="0.25">
      <c r="A1353" t="s">
        <v>2307</v>
      </c>
      <c r="B1353" t="s">
        <v>1092</v>
      </c>
      <c r="C1353" t="s">
        <v>283</v>
      </c>
      <c r="D1353" s="85">
        <v>26513.51</v>
      </c>
      <c r="E1353" s="85">
        <v>2162.11</v>
      </c>
      <c r="F1353" s="85">
        <v>0</v>
      </c>
      <c r="G1353" s="85">
        <v>28675.62</v>
      </c>
    </row>
    <row r="1354" spans="1:7" x14ac:dyDescent="0.25">
      <c r="A1354" t="s">
        <v>1822</v>
      </c>
      <c r="B1354" t="s">
        <v>335</v>
      </c>
      <c r="C1354" t="s">
        <v>271</v>
      </c>
      <c r="D1354" s="85">
        <v>320338.84999999998</v>
      </c>
      <c r="E1354" s="85">
        <v>27358.13</v>
      </c>
      <c r="F1354" s="85">
        <v>285.14</v>
      </c>
      <c r="G1354" s="85">
        <v>347411.84</v>
      </c>
    </row>
    <row r="1355" spans="1:7" x14ac:dyDescent="0.25">
      <c r="A1355" t="s">
        <v>1823</v>
      </c>
      <c r="B1355" t="s">
        <v>1090</v>
      </c>
      <c r="C1355" t="s">
        <v>283</v>
      </c>
      <c r="D1355" s="85">
        <v>263714.24</v>
      </c>
      <c r="E1355" s="85">
        <v>21158.03</v>
      </c>
      <c r="F1355" s="85">
        <v>0</v>
      </c>
      <c r="G1355" s="85">
        <v>284872.27</v>
      </c>
    </row>
    <row r="1356" spans="1:7" x14ac:dyDescent="0.25">
      <c r="A1356" t="s">
        <v>1824</v>
      </c>
      <c r="B1356" t="s">
        <v>1092</v>
      </c>
      <c r="C1356" t="s">
        <v>283</v>
      </c>
      <c r="D1356" s="85">
        <v>121744.22</v>
      </c>
      <c r="E1356" s="85">
        <v>6200.1</v>
      </c>
      <c r="F1356" s="85">
        <v>0</v>
      </c>
      <c r="G1356" s="85">
        <v>127944.32000000001</v>
      </c>
    </row>
    <row r="1357" spans="1:7" x14ac:dyDescent="0.25">
      <c r="A1357" t="s">
        <v>1825</v>
      </c>
      <c r="B1357" t="s">
        <v>1820</v>
      </c>
      <c r="C1357" t="s">
        <v>283</v>
      </c>
      <c r="D1357" s="85">
        <v>-65119.61</v>
      </c>
      <c r="E1357" s="85">
        <v>0</v>
      </c>
      <c r="F1357" s="85">
        <v>285.14</v>
      </c>
      <c r="G1357" s="85">
        <v>-65404.75</v>
      </c>
    </row>
    <row r="1358" spans="1:7" x14ac:dyDescent="0.25">
      <c r="A1358" t="s">
        <v>1826</v>
      </c>
      <c r="B1358" t="s">
        <v>1620</v>
      </c>
      <c r="C1358" t="s">
        <v>271</v>
      </c>
      <c r="D1358" s="85">
        <v>145881.17000000001</v>
      </c>
      <c r="E1358" s="85">
        <v>13831.21</v>
      </c>
      <c r="F1358" s="85">
        <v>0</v>
      </c>
      <c r="G1358" s="85">
        <v>159712.38</v>
      </c>
    </row>
    <row r="1359" spans="1:7" x14ac:dyDescent="0.25">
      <c r="A1359" t="s">
        <v>2308</v>
      </c>
      <c r="B1359" t="s">
        <v>2294</v>
      </c>
      <c r="C1359" t="s">
        <v>271</v>
      </c>
      <c r="D1359" s="85">
        <v>29128.59</v>
      </c>
      <c r="E1359" s="85">
        <v>2698.45</v>
      </c>
      <c r="F1359" s="85">
        <v>0</v>
      </c>
      <c r="G1359" s="85">
        <v>31827.040000000001</v>
      </c>
    </row>
    <row r="1360" spans="1:7" x14ac:dyDescent="0.25">
      <c r="A1360" t="s">
        <v>2309</v>
      </c>
      <c r="B1360" t="s">
        <v>1624</v>
      </c>
      <c r="C1360" t="s">
        <v>283</v>
      </c>
      <c r="D1360" s="85">
        <v>29128.59</v>
      </c>
      <c r="E1360" s="85">
        <v>2698.45</v>
      </c>
      <c r="F1360" s="85">
        <v>0</v>
      </c>
      <c r="G1360" s="85">
        <v>31827.040000000001</v>
      </c>
    </row>
    <row r="1361" spans="1:7" x14ac:dyDescent="0.25">
      <c r="A1361" t="s">
        <v>1827</v>
      </c>
      <c r="B1361" t="s">
        <v>335</v>
      </c>
      <c r="C1361" t="s">
        <v>271</v>
      </c>
      <c r="D1361" s="85">
        <v>116752.58</v>
      </c>
      <c r="E1361" s="85">
        <v>11132.76</v>
      </c>
      <c r="F1361" s="85">
        <v>0</v>
      </c>
      <c r="G1361" s="85">
        <v>127885.34</v>
      </c>
    </row>
    <row r="1362" spans="1:7" x14ac:dyDescent="0.25">
      <c r="A1362" t="s">
        <v>1828</v>
      </c>
      <c r="B1362" t="s">
        <v>1624</v>
      </c>
      <c r="C1362" t="s">
        <v>283</v>
      </c>
      <c r="D1362" s="85">
        <v>116752.58</v>
      </c>
      <c r="E1362" s="85">
        <v>11132.76</v>
      </c>
      <c r="F1362" s="85">
        <v>0</v>
      </c>
      <c r="G1362" s="85">
        <v>127885.34</v>
      </c>
    </row>
    <row r="1363" spans="1:7" x14ac:dyDescent="0.25">
      <c r="A1363" t="s">
        <v>2965</v>
      </c>
      <c r="B1363" t="s">
        <v>2955</v>
      </c>
      <c r="C1363" t="s">
        <v>271</v>
      </c>
      <c r="D1363" s="85">
        <v>122718.6</v>
      </c>
      <c r="E1363" s="85">
        <v>0</v>
      </c>
      <c r="F1363" s="85">
        <v>0</v>
      </c>
      <c r="G1363" s="85">
        <v>122718.6</v>
      </c>
    </row>
    <row r="1364" spans="1:7" x14ac:dyDescent="0.25">
      <c r="A1364" t="s">
        <v>2966</v>
      </c>
      <c r="B1364" t="s">
        <v>335</v>
      </c>
      <c r="C1364" t="s">
        <v>271</v>
      </c>
      <c r="D1364" s="85">
        <v>122718.6</v>
      </c>
      <c r="E1364" s="85">
        <v>0</v>
      </c>
      <c r="F1364" s="85">
        <v>0</v>
      </c>
      <c r="G1364" s="85">
        <v>122718.6</v>
      </c>
    </row>
    <row r="1365" spans="1:7" x14ac:dyDescent="0.25">
      <c r="A1365" t="s">
        <v>2967</v>
      </c>
      <c r="B1365" t="s">
        <v>2968</v>
      </c>
      <c r="C1365" t="s">
        <v>283</v>
      </c>
      <c r="D1365" s="85">
        <v>122718.6</v>
      </c>
      <c r="E1365" s="85">
        <v>0</v>
      </c>
      <c r="F1365" s="85">
        <v>0</v>
      </c>
      <c r="G1365" s="85">
        <v>122718.6</v>
      </c>
    </row>
    <row r="1366" spans="1:7" x14ac:dyDescent="0.25">
      <c r="A1366" t="s">
        <v>1829</v>
      </c>
      <c r="B1366" t="s">
        <v>1630</v>
      </c>
      <c r="C1366" t="s">
        <v>271</v>
      </c>
      <c r="D1366" s="85">
        <v>148788.79999999999</v>
      </c>
      <c r="E1366" s="85">
        <v>0</v>
      </c>
      <c r="F1366" s="85">
        <v>0</v>
      </c>
      <c r="G1366" s="85">
        <v>148788.79999999999</v>
      </c>
    </row>
    <row r="1367" spans="1:7" x14ac:dyDescent="0.25">
      <c r="A1367" t="s">
        <v>2310</v>
      </c>
      <c r="B1367" t="s">
        <v>1633</v>
      </c>
      <c r="C1367" t="s">
        <v>283</v>
      </c>
      <c r="D1367" s="85">
        <v>36247.54</v>
      </c>
      <c r="E1367" s="85">
        <v>0</v>
      </c>
      <c r="F1367" s="85">
        <v>0</v>
      </c>
      <c r="G1367" s="85">
        <v>36247.54</v>
      </c>
    </row>
    <row r="1368" spans="1:7" x14ac:dyDescent="0.25">
      <c r="A1368" t="s">
        <v>1830</v>
      </c>
      <c r="B1368" t="s">
        <v>1633</v>
      </c>
      <c r="C1368" t="s">
        <v>271</v>
      </c>
      <c r="D1368" s="85">
        <v>112541.26</v>
      </c>
      <c r="E1368" s="85">
        <v>0</v>
      </c>
      <c r="F1368" s="85">
        <v>0</v>
      </c>
      <c r="G1368" s="85">
        <v>112541.26</v>
      </c>
    </row>
    <row r="1369" spans="1:7" x14ac:dyDescent="0.25">
      <c r="A1369" t="s">
        <v>1831</v>
      </c>
      <c r="B1369" t="s">
        <v>1630</v>
      </c>
      <c r="C1369" t="s">
        <v>283</v>
      </c>
      <c r="D1369" s="85">
        <v>112541.26</v>
      </c>
      <c r="E1369" s="85">
        <v>0</v>
      </c>
      <c r="F1369" s="85">
        <v>0</v>
      </c>
      <c r="G1369" s="85">
        <v>112541.26</v>
      </c>
    </row>
    <row r="1370" spans="1:7" x14ac:dyDescent="0.25">
      <c r="A1370" t="s">
        <v>1832</v>
      </c>
      <c r="B1370" t="s">
        <v>1640</v>
      </c>
      <c r="C1370" t="s">
        <v>271</v>
      </c>
      <c r="D1370" s="85">
        <v>301209.28000000003</v>
      </c>
      <c r="E1370" s="85">
        <v>49231.12</v>
      </c>
      <c r="F1370" s="85">
        <v>52.22</v>
      </c>
      <c r="G1370" s="85">
        <v>350388.18</v>
      </c>
    </row>
    <row r="1371" spans="1:7" x14ac:dyDescent="0.25">
      <c r="A1371" t="s">
        <v>2311</v>
      </c>
      <c r="B1371" t="s">
        <v>2294</v>
      </c>
      <c r="C1371" t="s">
        <v>271</v>
      </c>
      <c r="D1371" s="85">
        <v>56164.43</v>
      </c>
      <c r="E1371" s="85">
        <v>8317.4500000000007</v>
      </c>
      <c r="F1371" s="85">
        <v>0</v>
      </c>
      <c r="G1371" s="85">
        <v>64481.88</v>
      </c>
    </row>
    <row r="1372" spans="1:7" x14ac:dyDescent="0.25">
      <c r="A1372" t="s">
        <v>2312</v>
      </c>
      <c r="B1372" t="s">
        <v>503</v>
      </c>
      <c r="C1372" t="s">
        <v>283</v>
      </c>
      <c r="D1372" s="85">
        <v>33138.54</v>
      </c>
      <c r="E1372" s="85">
        <v>2680.05</v>
      </c>
      <c r="F1372" s="85">
        <v>0</v>
      </c>
      <c r="G1372" s="85">
        <v>35818.589999999997</v>
      </c>
    </row>
    <row r="1373" spans="1:7" x14ac:dyDescent="0.25">
      <c r="A1373" t="s">
        <v>2313</v>
      </c>
      <c r="B1373" t="s">
        <v>501</v>
      </c>
      <c r="C1373" t="s">
        <v>283</v>
      </c>
      <c r="D1373" s="85">
        <v>19969.259999999998</v>
      </c>
      <c r="E1373" s="85">
        <v>5537.6</v>
      </c>
      <c r="F1373" s="85">
        <v>0</v>
      </c>
      <c r="G1373" s="85">
        <v>25506.86</v>
      </c>
    </row>
    <row r="1374" spans="1:7" x14ac:dyDescent="0.25">
      <c r="A1374" t="s">
        <v>2314</v>
      </c>
      <c r="B1374" t="s">
        <v>505</v>
      </c>
      <c r="C1374" t="s">
        <v>283</v>
      </c>
      <c r="D1374" s="85">
        <v>2096.59</v>
      </c>
      <c r="E1374" s="85">
        <v>15.96</v>
      </c>
      <c r="F1374" s="85">
        <v>0</v>
      </c>
      <c r="G1374" s="85">
        <v>2112.5500000000002</v>
      </c>
    </row>
    <row r="1375" spans="1:7" x14ac:dyDescent="0.25">
      <c r="A1375" t="s">
        <v>2315</v>
      </c>
      <c r="B1375" t="s">
        <v>1647</v>
      </c>
      <c r="C1375" t="s">
        <v>283</v>
      </c>
      <c r="D1375" s="85">
        <v>960.04</v>
      </c>
      <c r="E1375" s="85">
        <v>83.84</v>
      </c>
      <c r="F1375" s="85">
        <v>0</v>
      </c>
      <c r="G1375" s="85">
        <v>1043.8800000000001</v>
      </c>
    </row>
    <row r="1376" spans="1:7" x14ac:dyDescent="0.25">
      <c r="A1376" t="s">
        <v>1833</v>
      </c>
      <c r="B1376" t="s">
        <v>335</v>
      </c>
      <c r="C1376" t="s">
        <v>271</v>
      </c>
      <c r="D1376" s="85">
        <v>245044.85</v>
      </c>
      <c r="E1376" s="85">
        <v>40913.67</v>
      </c>
      <c r="F1376" s="85">
        <v>52.22</v>
      </c>
      <c r="G1376" s="85">
        <v>285906.3</v>
      </c>
    </row>
    <row r="1377" spans="1:7" x14ac:dyDescent="0.25">
      <c r="A1377" t="s">
        <v>1834</v>
      </c>
      <c r="B1377" t="s">
        <v>503</v>
      </c>
      <c r="C1377" t="s">
        <v>283</v>
      </c>
      <c r="D1377" s="85">
        <v>93029.440000000002</v>
      </c>
      <c r="E1377" s="85">
        <v>8040.15</v>
      </c>
      <c r="F1377" s="85">
        <v>0</v>
      </c>
      <c r="G1377" s="85">
        <v>101069.59</v>
      </c>
    </row>
    <row r="1378" spans="1:7" x14ac:dyDescent="0.25">
      <c r="A1378" t="s">
        <v>1835</v>
      </c>
      <c r="B1378" t="s">
        <v>501</v>
      </c>
      <c r="C1378" t="s">
        <v>283</v>
      </c>
      <c r="D1378" s="85">
        <v>53057.16</v>
      </c>
      <c r="E1378" s="85">
        <v>16403.7</v>
      </c>
      <c r="F1378" s="85">
        <v>0</v>
      </c>
      <c r="G1378" s="85">
        <v>69460.86</v>
      </c>
    </row>
    <row r="1379" spans="1:7" x14ac:dyDescent="0.25">
      <c r="A1379" t="s">
        <v>1836</v>
      </c>
      <c r="B1379" t="s">
        <v>505</v>
      </c>
      <c r="C1379" t="s">
        <v>283</v>
      </c>
      <c r="D1379" s="85">
        <v>745.97</v>
      </c>
      <c r="E1379" s="85">
        <v>42.31</v>
      </c>
      <c r="F1379" s="85">
        <v>52.22</v>
      </c>
      <c r="G1379" s="85">
        <v>736.06</v>
      </c>
    </row>
    <row r="1380" spans="1:7" x14ac:dyDescent="0.25">
      <c r="A1380" t="s">
        <v>1837</v>
      </c>
      <c r="B1380" t="s">
        <v>1838</v>
      </c>
      <c r="C1380" t="s">
        <v>283</v>
      </c>
      <c r="D1380" s="85">
        <v>95510.16</v>
      </c>
      <c r="E1380" s="85">
        <v>13666.43</v>
      </c>
      <c r="F1380" s="85">
        <v>0</v>
      </c>
      <c r="G1380" s="85">
        <v>109176.59</v>
      </c>
    </row>
    <row r="1381" spans="1:7" x14ac:dyDescent="0.25">
      <c r="A1381" t="s">
        <v>1839</v>
      </c>
      <c r="B1381" t="s">
        <v>1656</v>
      </c>
      <c r="C1381" t="s">
        <v>283</v>
      </c>
      <c r="D1381" s="85">
        <v>2702.12</v>
      </c>
      <c r="E1381" s="85">
        <v>255.53</v>
      </c>
      <c r="F1381" s="85">
        <v>0</v>
      </c>
      <c r="G1381" s="85">
        <v>2957.65</v>
      </c>
    </row>
    <row r="1382" spans="1:7" x14ac:dyDescent="0.25">
      <c r="A1382" t="s">
        <v>2507</v>
      </c>
      <c r="B1382" t="s">
        <v>2508</v>
      </c>
      <c r="C1382" t="s">
        <v>283</v>
      </c>
      <c r="D1382" s="85">
        <v>0</v>
      </c>
      <c r="E1382" s="85">
        <v>2505.5500000000002</v>
      </c>
      <c r="F1382" s="85">
        <v>0</v>
      </c>
      <c r="G1382" s="85">
        <v>2505.5500000000002</v>
      </c>
    </row>
    <row r="1383" spans="1:7" x14ac:dyDescent="0.25">
      <c r="A1383" t="s">
        <v>1840</v>
      </c>
      <c r="B1383" t="s">
        <v>331</v>
      </c>
      <c r="C1383" t="s">
        <v>271</v>
      </c>
      <c r="D1383" s="85">
        <v>11391.31</v>
      </c>
      <c r="E1383" s="85">
        <v>1481.36</v>
      </c>
      <c r="F1383" s="85">
        <v>74.44</v>
      </c>
      <c r="G1383" s="85">
        <v>12798.23</v>
      </c>
    </row>
    <row r="1384" spans="1:7" x14ac:dyDescent="0.25">
      <c r="A1384" t="s">
        <v>1841</v>
      </c>
      <c r="B1384" t="s">
        <v>335</v>
      </c>
      <c r="C1384" t="s">
        <v>271</v>
      </c>
      <c r="D1384" s="85">
        <v>11391.31</v>
      </c>
      <c r="E1384" s="85">
        <v>1481.36</v>
      </c>
      <c r="F1384" s="85">
        <v>74.44</v>
      </c>
      <c r="G1384" s="85">
        <v>12798.23</v>
      </c>
    </row>
    <row r="1385" spans="1:7" x14ac:dyDescent="0.25">
      <c r="A1385" t="s">
        <v>1842</v>
      </c>
      <c r="B1385" t="s">
        <v>1843</v>
      </c>
      <c r="C1385" t="s">
        <v>283</v>
      </c>
      <c r="D1385" s="85">
        <v>6026.17</v>
      </c>
      <c r="E1385" s="85">
        <v>923.08</v>
      </c>
      <c r="F1385" s="85">
        <v>0</v>
      </c>
      <c r="G1385" s="85">
        <v>6949.25</v>
      </c>
    </row>
    <row r="1386" spans="1:7" x14ac:dyDescent="0.25">
      <c r="A1386" t="s">
        <v>1844</v>
      </c>
      <c r="B1386" t="s">
        <v>1845</v>
      </c>
      <c r="C1386" t="s">
        <v>283</v>
      </c>
      <c r="D1386" s="85">
        <v>2627.29</v>
      </c>
      <c r="E1386" s="85">
        <v>144.49</v>
      </c>
      <c r="F1386" s="85">
        <v>74.44</v>
      </c>
      <c r="G1386" s="85">
        <v>2697.34</v>
      </c>
    </row>
    <row r="1387" spans="1:7" x14ac:dyDescent="0.25">
      <c r="A1387" t="s">
        <v>1846</v>
      </c>
      <c r="B1387" t="s">
        <v>1847</v>
      </c>
      <c r="C1387" t="s">
        <v>283</v>
      </c>
      <c r="D1387" s="85">
        <v>1746.1</v>
      </c>
      <c r="E1387" s="85">
        <v>270.47000000000003</v>
      </c>
      <c r="F1387" s="85">
        <v>0</v>
      </c>
      <c r="G1387" s="85">
        <v>2016.57</v>
      </c>
    </row>
    <row r="1388" spans="1:7" x14ac:dyDescent="0.25">
      <c r="A1388" t="s">
        <v>1848</v>
      </c>
      <c r="B1388" t="s">
        <v>1849</v>
      </c>
      <c r="C1388" t="s">
        <v>283</v>
      </c>
      <c r="D1388" s="85">
        <v>991.75</v>
      </c>
      <c r="E1388" s="85">
        <v>143.32</v>
      </c>
      <c r="F1388" s="85">
        <v>0</v>
      </c>
      <c r="G1388" s="85">
        <v>1135.07</v>
      </c>
    </row>
    <row r="1389" spans="1:7" x14ac:dyDescent="0.25">
      <c r="A1389" t="s">
        <v>1850</v>
      </c>
      <c r="B1389" t="s">
        <v>1657</v>
      </c>
      <c r="C1389" t="s">
        <v>271</v>
      </c>
      <c r="D1389" s="85">
        <v>1806303.01</v>
      </c>
      <c r="E1389" s="85">
        <v>199332.46</v>
      </c>
      <c r="F1389" s="85">
        <v>0</v>
      </c>
      <c r="G1389" s="85">
        <v>2005635.47</v>
      </c>
    </row>
    <row r="1390" spans="1:7" x14ac:dyDescent="0.25">
      <c r="A1390" t="s">
        <v>1851</v>
      </c>
      <c r="B1390" t="s">
        <v>1768</v>
      </c>
      <c r="C1390" t="s">
        <v>271</v>
      </c>
      <c r="D1390" s="85">
        <v>1611941.09</v>
      </c>
      <c r="E1390" s="85">
        <v>175508.04</v>
      </c>
      <c r="F1390" s="85">
        <v>0</v>
      </c>
      <c r="G1390" s="85">
        <v>1787449.13</v>
      </c>
    </row>
    <row r="1391" spans="1:7" x14ac:dyDescent="0.25">
      <c r="A1391" t="s">
        <v>1852</v>
      </c>
      <c r="B1391" t="s">
        <v>335</v>
      </c>
      <c r="C1391" t="s">
        <v>271</v>
      </c>
      <c r="D1391" s="85">
        <v>1611941.09</v>
      </c>
      <c r="E1391" s="85">
        <v>175508.04</v>
      </c>
      <c r="F1391" s="85">
        <v>0</v>
      </c>
      <c r="G1391" s="85">
        <v>1787449.13</v>
      </c>
    </row>
    <row r="1392" spans="1:7" x14ac:dyDescent="0.25">
      <c r="A1392" t="s">
        <v>1853</v>
      </c>
      <c r="B1392" t="s">
        <v>2316</v>
      </c>
      <c r="C1392" t="s">
        <v>283</v>
      </c>
      <c r="D1392" s="85">
        <v>1113475.1399999999</v>
      </c>
      <c r="E1392" s="85">
        <v>106099.03</v>
      </c>
      <c r="F1392" s="85">
        <v>0</v>
      </c>
      <c r="G1392" s="85">
        <v>1219574.17</v>
      </c>
    </row>
    <row r="1393" spans="1:7" x14ac:dyDescent="0.25">
      <c r="A1393" t="s">
        <v>1854</v>
      </c>
      <c r="B1393" t="s">
        <v>1090</v>
      </c>
      <c r="C1393" t="s">
        <v>283</v>
      </c>
      <c r="D1393" s="85">
        <v>274501.21000000002</v>
      </c>
      <c r="E1393" s="85">
        <v>26546.76</v>
      </c>
      <c r="F1393" s="85">
        <v>0</v>
      </c>
      <c r="G1393" s="85">
        <v>301047.96999999997</v>
      </c>
    </row>
    <row r="1394" spans="1:7" x14ac:dyDescent="0.25">
      <c r="A1394" t="s">
        <v>1855</v>
      </c>
      <c r="B1394" t="s">
        <v>1092</v>
      </c>
      <c r="C1394" t="s">
        <v>283</v>
      </c>
      <c r="D1394" s="85">
        <v>59243.02</v>
      </c>
      <c r="E1394" s="85">
        <v>5838.07</v>
      </c>
      <c r="F1394" s="85">
        <v>0</v>
      </c>
      <c r="G1394" s="85">
        <v>65081.09</v>
      </c>
    </row>
    <row r="1395" spans="1:7" x14ac:dyDescent="0.25">
      <c r="A1395" t="s">
        <v>1856</v>
      </c>
      <c r="B1395" t="s">
        <v>1573</v>
      </c>
      <c r="C1395" t="s">
        <v>283</v>
      </c>
      <c r="D1395" s="85">
        <v>73534.52</v>
      </c>
      <c r="E1395" s="85">
        <v>8107.99</v>
      </c>
      <c r="F1395" s="85">
        <v>0</v>
      </c>
      <c r="G1395" s="85">
        <v>81642.509999999995</v>
      </c>
    </row>
    <row r="1396" spans="1:7" x14ac:dyDescent="0.25">
      <c r="A1396" t="s">
        <v>1857</v>
      </c>
      <c r="B1396" t="s">
        <v>1575</v>
      </c>
      <c r="C1396" t="s">
        <v>283</v>
      </c>
      <c r="D1396" s="85">
        <v>13866.19</v>
      </c>
      <c r="E1396" s="85">
        <v>2213.4699999999998</v>
      </c>
      <c r="F1396" s="85">
        <v>0</v>
      </c>
      <c r="G1396" s="85">
        <v>16079.66</v>
      </c>
    </row>
    <row r="1397" spans="1:7" x14ac:dyDescent="0.25">
      <c r="A1397" t="s">
        <v>1858</v>
      </c>
      <c r="B1397" t="s">
        <v>1579</v>
      </c>
      <c r="C1397" t="s">
        <v>283</v>
      </c>
      <c r="D1397" s="85">
        <v>53715.51</v>
      </c>
      <c r="E1397" s="85">
        <v>19256.52</v>
      </c>
      <c r="F1397" s="85">
        <v>0</v>
      </c>
      <c r="G1397" s="85">
        <v>72972.03</v>
      </c>
    </row>
    <row r="1398" spans="1:7" x14ac:dyDescent="0.25">
      <c r="A1398" t="s">
        <v>1859</v>
      </c>
      <c r="B1398" t="s">
        <v>1581</v>
      </c>
      <c r="C1398" t="s">
        <v>283</v>
      </c>
      <c r="D1398" s="85">
        <v>14664.32</v>
      </c>
      <c r="E1398" s="85">
        <v>5257.04</v>
      </c>
      <c r="F1398" s="85">
        <v>0</v>
      </c>
      <c r="G1398" s="85">
        <v>19921.36</v>
      </c>
    </row>
    <row r="1399" spans="1:7" x14ac:dyDescent="0.25">
      <c r="A1399" t="s">
        <v>1860</v>
      </c>
      <c r="B1399" t="s">
        <v>1583</v>
      </c>
      <c r="C1399" t="s">
        <v>283</v>
      </c>
      <c r="D1399" s="85">
        <v>4838.6899999999996</v>
      </c>
      <c r="E1399" s="85">
        <v>1540.52</v>
      </c>
      <c r="F1399" s="85">
        <v>0</v>
      </c>
      <c r="G1399" s="85">
        <v>6379.21</v>
      </c>
    </row>
    <row r="1400" spans="1:7" x14ac:dyDescent="0.25">
      <c r="A1400" t="s">
        <v>1861</v>
      </c>
      <c r="B1400" t="s">
        <v>1577</v>
      </c>
      <c r="C1400" t="s">
        <v>283</v>
      </c>
      <c r="D1400" s="85">
        <v>4102.49</v>
      </c>
      <c r="E1400" s="85">
        <v>648.64</v>
      </c>
      <c r="F1400" s="85">
        <v>0</v>
      </c>
      <c r="G1400" s="85">
        <v>4751.13</v>
      </c>
    </row>
    <row r="1401" spans="1:7" x14ac:dyDescent="0.25">
      <c r="A1401" t="s">
        <v>1862</v>
      </c>
      <c r="B1401" t="s">
        <v>1658</v>
      </c>
      <c r="C1401" t="s">
        <v>271</v>
      </c>
      <c r="D1401" s="85">
        <v>194361.92</v>
      </c>
      <c r="E1401" s="85">
        <v>23824.42</v>
      </c>
      <c r="F1401" s="85">
        <v>0</v>
      </c>
      <c r="G1401" s="85">
        <v>218186.34</v>
      </c>
    </row>
    <row r="1402" spans="1:7" x14ac:dyDescent="0.25">
      <c r="A1402" t="s">
        <v>1863</v>
      </c>
      <c r="B1402" t="s">
        <v>335</v>
      </c>
      <c r="C1402" t="s">
        <v>271</v>
      </c>
      <c r="D1402" s="85">
        <v>194361.92</v>
      </c>
      <c r="E1402" s="85">
        <v>23824.42</v>
      </c>
      <c r="F1402" s="85">
        <v>0</v>
      </c>
      <c r="G1402" s="85">
        <v>218186.34</v>
      </c>
    </row>
    <row r="1403" spans="1:7" x14ac:dyDescent="0.25">
      <c r="A1403" t="s">
        <v>1864</v>
      </c>
      <c r="B1403" t="s">
        <v>503</v>
      </c>
      <c r="C1403" t="s">
        <v>283</v>
      </c>
      <c r="D1403" s="85">
        <v>24132.959999999999</v>
      </c>
      <c r="E1403" s="85">
        <v>2010.04</v>
      </c>
      <c r="F1403" s="85">
        <v>0</v>
      </c>
      <c r="G1403" s="85">
        <v>26143</v>
      </c>
    </row>
    <row r="1404" spans="1:7" x14ac:dyDescent="0.25">
      <c r="A1404" t="s">
        <v>1865</v>
      </c>
      <c r="B1404" t="s">
        <v>501</v>
      </c>
      <c r="C1404" t="s">
        <v>283</v>
      </c>
      <c r="D1404" s="85">
        <v>7539.68</v>
      </c>
      <c r="E1404" s="85">
        <v>3545.14</v>
      </c>
      <c r="F1404" s="85">
        <v>0</v>
      </c>
      <c r="G1404" s="85">
        <v>11084.82</v>
      </c>
    </row>
    <row r="1405" spans="1:7" x14ac:dyDescent="0.25">
      <c r="A1405" t="s">
        <v>1866</v>
      </c>
      <c r="B1405" t="s">
        <v>1867</v>
      </c>
      <c r="C1405" t="s">
        <v>283</v>
      </c>
      <c r="D1405" s="85">
        <v>719.91</v>
      </c>
      <c r="E1405" s="85">
        <v>62.86</v>
      </c>
      <c r="F1405" s="85">
        <v>0</v>
      </c>
      <c r="G1405" s="85">
        <v>782.77</v>
      </c>
    </row>
    <row r="1406" spans="1:7" x14ac:dyDescent="0.25">
      <c r="A1406" t="s">
        <v>1868</v>
      </c>
      <c r="B1406" t="s">
        <v>1624</v>
      </c>
      <c r="C1406" t="s">
        <v>283</v>
      </c>
      <c r="D1406" s="85">
        <v>117678.34</v>
      </c>
      <c r="E1406" s="85">
        <v>12335.75</v>
      </c>
      <c r="F1406" s="85">
        <v>0</v>
      </c>
      <c r="G1406" s="85">
        <v>130014.09</v>
      </c>
    </row>
    <row r="1407" spans="1:7" x14ac:dyDescent="0.25">
      <c r="A1407" t="s">
        <v>1869</v>
      </c>
      <c r="B1407" t="s">
        <v>1870</v>
      </c>
      <c r="C1407" t="s">
        <v>283</v>
      </c>
      <c r="D1407" s="85">
        <v>41000.35</v>
      </c>
      <c r="E1407" s="85">
        <v>5870.63</v>
      </c>
      <c r="F1407" s="85">
        <v>0</v>
      </c>
      <c r="G1407" s="85">
        <v>46870.98</v>
      </c>
    </row>
    <row r="1408" spans="1:7" x14ac:dyDescent="0.25">
      <c r="A1408" t="s">
        <v>2317</v>
      </c>
      <c r="B1408" t="s">
        <v>1633</v>
      </c>
      <c r="C1408" t="s">
        <v>283</v>
      </c>
      <c r="D1408" s="85">
        <v>3290.68</v>
      </c>
      <c r="E1408" s="85">
        <v>0</v>
      </c>
      <c r="F1408" s="85">
        <v>0</v>
      </c>
      <c r="G1408" s="85">
        <v>3290.68</v>
      </c>
    </row>
    <row r="1409" spans="1:7" x14ac:dyDescent="0.25">
      <c r="A1409" t="s">
        <v>1871</v>
      </c>
      <c r="B1409" t="s">
        <v>1660</v>
      </c>
      <c r="C1409" t="s">
        <v>271</v>
      </c>
      <c r="D1409" s="85">
        <v>2562694.9900000002</v>
      </c>
      <c r="E1409" s="85">
        <v>260969.22</v>
      </c>
      <c r="F1409" s="85">
        <v>0</v>
      </c>
      <c r="G1409" s="85">
        <v>2823664.21</v>
      </c>
    </row>
    <row r="1410" spans="1:7" x14ac:dyDescent="0.25">
      <c r="A1410" t="s">
        <v>1872</v>
      </c>
      <c r="B1410" t="s">
        <v>1660</v>
      </c>
      <c r="C1410" t="s">
        <v>271</v>
      </c>
      <c r="D1410" s="85">
        <v>2554223.9900000002</v>
      </c>
      <c r="E1410" s="85">
        <v>259030.57</v>
      </c>
      <c r="F1410" s="85">
        <v>0</v>
      </c>
      <c r="G1410" s="85">
        <v>2813254.56</v>
      </c>
    </row>
    <row r="1411" spans="1:7" x14ac:dyDescent="0.25">
      <c r="A1411" t="s">
        <v>2318</v>
      </c>
      <c r="B1411" t="s">
        <v>2294</v>
      </c>
      <c r="C1411" t="s">
        <v>271</v>
      </c>
      <c r="D1411" s="85">
        <v>2542362.92</v>
      </c>
      <c r="E1411" s="85">
        <v>258072.51</v>
      </c>
      <c r="F1411" s="85">
        <v>0</v>
      </c>
      <c r="G1411" s="85">
        <v>2800435.43</v>
      </c>
    </row>
    <row r="1412" spans="1:7" x14ac:dyDescent="0.25">
      <c r="A1412" t="s">
        <v>2509</v>
      </c>
      <c r="B1412" t="s">
        <v>1875</v>
      </c>
      <c r="C1412" t="s">
        <v>283</v>
      </c>
      <c r="D1412" s="85">
        <v>2041.05</v>
      </c>
      <c r="E1412" s="85">
        <v>0</v>
      </c>
      <c r="F1412" s="85">
        <v>0</v>
      </c>
      <c r="G1412" s="85">
        <v>2041.05</v>
      </c>
    </row>
    <row r="1413" spans="1:7" x14ac:dyDescent="0.25">
      <c r="A1413" t="s">
        <v>2380</v>
      </c>
      <c r="B1413" t="s">
        <v>2495</v>
      </c>
      <c r="C1413" t="s">
        <v>283</v>
      </c>
      <c r="D1413" s="85">
        <v>8931.85</v>
      </c>
      <c r="E1413" s="85">
        <v>0</v>
      </c>
      <c r="F1413" s="85">
        <v>0</v>
      </c>
      <c r="G1413" s="85">
        <v>8931.85</v>
      </c>
    </row>
    <row r="1414" spans="1:7" x14ac:dyDescent="0.25">
      <c r="A1414" t="s">
        <v>2969</v>
      </c>
      <c r="B1414" t="s">
        <v>2288</v>
      </c>
      <c r="C1414" t="s">
        <v>283</v>
      </c>
      <c r="D1414" s="85">
        <v>14267.13</v>
      </c>
      <c r="E1414" s="85">
        <v>0</v>
      </c>
      <c r="F1414" s="85">
        <v>0</v>
      </c>
      <c r="G1414" s="85">
        <v>14267.13</v>
      </c>
    </row>
    <row r="1415" spans="1:7" x14ac:dyDescent="0.25">
      <c r="A1415" t="s">
        <v>2319</v>
      </c>
      <c r="B1415" t="s">
        <v>2510</v>
      </c>
      <c r="C1415" t="s">
        <v>283</v>
      </c>
      <c r="D1415" s="85">
        <v>474703.84</v>
      </c>
      <c r="E1415" s="85">
        <v>27888.33</v>
      </c>
      <c r="F1415" s="85">
        <v>0</v>
      </c>
      <c r="G1415" s="85">
        <v>502592.17</v>
      </c>
    </row>
    <row r="1416" spans="1:7" x14ac:dyDescent="0.25">
      <c r="A1416" t="s">
        <v>2320</v>
      </c>
      <c r="B1416" t="s">
        <v>2321</v>
      </c>
      <c r="C1416" t="s">
        <v>283</v>
      </c>
      <c r="D1416" s="85">
        <v>2019778.35</v>
      </c>
      <c r="E1416" s="85">
        <v>229664.78</v>
      </c>
      <c r="F1416" s="85">
        <v>0</v>
      </c>
      <c r="G1416" s="85">
        <v>2249443.13</v>
      </c>
    </row>
    <row r="1417" spans="1:7" x14ac:dyDescent="0.25">
      <c r="A1417" t="s">
        <v>2322</v>
      </c>
      <c r="B1417" t="s">
        <v>2323</v>
      </c>
      <c r="C1417" t="s">
        <v>283</v>
      </c>
      <c r="D1417" s="85">
        <v>22640.7</v>
      </c>
      <c r="E1417" s="85">
        <v>519.4</v>
      </c>
      <c r="F1417" s="85">
        <v>0</v>
      </c>
      <c r="G1417" s="85">
        <v>23160.1</v>
      </c>
    </row>
    <row r="1418" spans="1:7" x14ac:dyDescent="0.25">
      <c r="A1418" t="s">
        <v>1873</v>
      </c>
      <c r="B1418" t="s">
        <v>335</v>
      </c>
      <c r="C1418" t="s">
        <v>271</v>
      </c>
      <c r="D1418" s="85">
        <v>11861.07</v>
      </c>
      <c r="E1418" s="85">
        <v>958.06</v>
      </c>
      <c r="F1418" s="85">
        <v>0</v>
      </c>
      <c r="G1418" s="85">
        <v>12819.13</v>
      </c>
    </row>
    <row r="1419" spans="1:7" x14ac:dyDescent="0.25">
      <c r="A1419" t="s">
        <v>2324</v>
      </c>
      <c r="B1419" t="s">
        <v>2492</v>
      </c>
      <c r="C1419" t="s">
        <v>283</v>
      </c>
      <c r="D1419" s="85">
        <v>540.9</v>
      </c>
      <c r="E1419" s="85">
        <v>0</v>
      </c>
      <c r="F1419" s="85">
        <v>0</v>
      </c>
      <c r="G1419" s="85">
        <v>540.9</v>
      </c>
    </row>
    <row r="1420" spans="1:7" x14ac:dyDescent="0.25">
      <c r="A1420" t="s">
        <v>2511</v>
      </c>
      <c r="B1420" t="s">
        <v>2512</v>
      </c>
      <c r="C1420" t="s">
        <v>283</v>
      </c>
      <c r="D1420" s="85">
        <v>139.84</v>
      </c>
      <c r="E1420" s="85">
        <v>0</v>
      </c>
      <c r="F1420" s="85">
        <v>0</v>
      </c>
      <c r="G1420" s="85">
        <v>139.84</v>
      </c>
    </row>
    <row r="1421" spans="1:7" x14ac:dyDescent="0.25">
      <c r="A1421" t="s">
        <v>2252</v>
      </c>
      <c r="B1421" t="s">
        <v>1669</v>
      </c>
      <c r="C1421" t="s">
        <v>283</v>
      </c>
      <c r="D1421" s="85">
        <v>1962.77</v>
      </c>
      <c r="E1421" s="85">
        <v>141.26</v>
      </c>
      <c r="F1421" s="85">
        <v>0</v>
      </c>
      <c r="G1421" s="85">
        <v>2104.0300000000002</v>
      </c>
    </row>
    <row r="1422" spans="1:7" x14ac:dyDescent="0.25">
      <c r="A1422" t="s">
        <v>1874</v>
      </c>
      <c r="B1422" t="s">
        <v>1875</v>
      </c>
      <c r="C1422" t="s">
        <v>283</v>
      </c>
      <c r="D1422" s="85">
        <v>1488.27</v>
      </c>
      <c r="E1422" s="85">
        <v>647.03</v>
      </c>
      <c r="F1422" s="85">
        <v>0</v>
      </c>
      <c r="G1422" s="85">
        <v>2135.3000000000002</v>
      </c>
    </row>
    <row r="1423" spans="1:7" x14ac:dyDescent="0.25">
      <c r="A1423" t="s">
        <v>1876</v>
      </c>
      <c r="B1423" t="s">
        <v>2513</v>
      </c>
      <c r="C1423" t="s">
        <v>283</v>
      </c>
      <c r="D1423" s="85">
        <v>622.46</v>
      </c>
      <c r="E1423" s="85">
        <v>0</v>
      </c>
      <c r="F1423" s="85">
        <v>0</v>
      </c>
      <c r="G1423" s="85">
        <v>622.46</v>
      </c>
    </row>
    <row r="1424" spans="1:7" x14ac:dyDescent="0.25">
      <c r="A1424" t="s">
        <v>2970</v>
      </c>
      <c r="B1424" t="s">
        <v>1672</v>
      </c>
      <c r="C1424" t="s">
        <v>283</v>
      </c>
      <c r="D1424" s="85">
        <v>136</v>
      </c>
      <c r="E1424" s="85">
        <v>0</v>
      </c>
      <c r="F1424" s="85">
        <v>0</v>
      </c>
      <c r="G1424" s="85">
        <v>136</v>
      </c>
    </row>
    <row r="1425" spans="1:7" x14ac:dyDescent="0.25">
      <c r="A1425" t="s">
        <v>2971</v>
      </c>
      <c r="B1425" t="s">
        <v>1877</v>
      </c>
      <c r="C1425" t="s">
        <v>283</v>
      </c>
      <c r="D1425" s="85">
        <v>4532</v>
      </c>
      <c r="E1425" s="85">
        <v>0</v>
      </c>
      <c r="F1425" s="85">
        <v>0</v>
      </c>
      <c r="G1425" s="85">
        <v>4532</v>
      </c>
    </row>
    <row r="1426" spans="1:7" x14ac:dyDescent="0.25">
      <c r="A1426" t="s">
        <v>2325</v>
      </c>
      <c r="B1426" t="s">
        <v>2248</v>
      </c>
      <c r="C1426" t="s">
        <v>283</v>
      </c>
      <c r="D1426" s="85">
        <v>2438.83</v>
      </c>
      <c r="E1426" s="85">
        <v>169.77</v>
      </c>
      <c r="F1426" s="85">
        <v>0</v>
      </c>
      <c r="G1426" s="85">
        <v>2608.6</v>
      </c>
    </row>
    <row r="1427" spans="1:7" x14ac:dyDescent="0.25">
      <c r="A1427" t="s">
        <v>1878</v>
      </c>
      <c r="B1427" t="s">
        <v>331</v>
      </c>
      <c r="C1427" t="s">
        <v>271</v>
      </c>
      <c r="D1427" s="85">
        <v>8471</v>
      </c>
      <c r="E1427" s="85">
        <v>1938.65</v>
      </c>
      <c r="F1427" s="85">
        <v>0</v>
      </c>
      <c r="G1427" s="85">
        <v>10409.65</v>
      </c>
    </row>
    <row r="1428" spans="1:7" x14ac:dyDescent="0.25">
      <c r="A1428" t="s">
        <v>2514</v>
      </c>
      <c r="B1428" t="s">
        <v>1664</v>
      </c>
      <c r="C1428" t="s">
        <v>283</v>
      </c>
      <c r="D1428" s="85">
        <v>6829.15</v>
      </c>
      <c r="E1428" s="85">
        <v>1888.19</v>
      </c>
      <c r="F1428" s="85">
        <v>0</v>
      </c>
      <c r="G1428" s="85">
        <v>8717.34</v>
      </c>
    </row>
    <row r="1429" spans="1:7" x14ac:dyDescent="0.25">
      <c r="A1429" t="s">
        <v>1879</v>
      </c>
      <c r="B1429" t="s">
        <v>335</v>
      </c>
      <c r="C1429" t="s">
        <v>271</v>
      </c>
      <c r="D1429" s="85">
        <v>1641.85</v>
      </c>
      <c r="E1429" s="85">
        <v>50.46</v>
      </c>
      <c r="F1429" s="85">
        <v>0</v>
      </c>
      <c r="G1429" s="85">
        <v>1692.31</v>
      </c>
    </row>
    <row r="1430" spans="1:7" x14ac:dyDescent="0.25">
      <c r="A1430" t="s">
        <v>1880</v>
      </c>
      <c r="B1430" t="s">
        <v>1664</v>
      </c>
      <c r="C1430" t="s">
        <v>283</v>
      </c>
      <c r="D1430" s="85">
        <v>966.27</v>
      </c>
      <c r="E1430" s="85">
        <v>0</v>
      </c>
      <c r="F1430" s="85">
        <v>0</v>
      </c>
      <c r="G1430" s="85">
        <v>966.27</v>
      </c>
    </row>
    <row r="1431" spans="1:7" x14ac:dyDescent="0.25">
      <c r="A1431" t="s">
        <v>2515</v>
      </c>
      <c r="B1431" t="s">
        <v>2516</v>
      </c>
      <c r="C1431" t="s">
        <v>283</v>
      </c>
      <c r="D1431" s="85">
        <v>304.63</v>
      </c>
      <c r="E1431" s="85">
        <v>0</v>
      </c>
      <c r="F1431" s="85">
        <v>0</v>
      </c>
      <c r="G1431" s="85">
        <v>304.63</v>
      </c>
    </row>
    <row r="1432" spans="1:7" x14ac:dyDescent="0.25">
      <c r="A1432" t="s">
        <v>1881</v>
      </c>
      <c r="B1432" t="s">
        <v>1674</v>
      </c>
      <c r="C1432" t="s">
        <v>283</v>
      </c>
      <c r="D1432" s="85">
        <v>370.95</v>
      </c>
      <c r="E1432" s="85">
        <v>0</v>
      </c>
      <c r="F1432" s="85">
        <v>0</v>
      </c>
      <c r="G1432" s="85">
        <v>370.95</v>
      </c>
    </row>
    <row r="1433" spans="1:7" x14ac:dyDescent="0.25">
      <c r="A1433" t="s">
        <v>2517</v>
      </c>
      <c r="B1433" t="s">
        <v>2518</v>
      </c>
      <c r="C1433" t="s">
        <v>283</v>
      </c>
      <c r="D1433" s="85">
        <v>0</v>
      </c>
      <c r="E1433" s="85">
        <v>50.46</v>
      </c>
      <c r="F1433" s="85">
        <v>0</v>
      </c>
      <c r="G1433" s="85">
        <v>50.46</v>
      </c>
    </row>
    <row r="1434" spans="1:7" x14ac:dyDescent="0.25">
      <c r="A1434" t="s">
        <v>1882</v>
      </c>
      <c r="B1434" t="s">
        <v>1677</v>
      </c>
      <c r="C1434" t="s">
        <v>271</v>
      </c>
      <c r="D1434" s="85">
        <v>1625736.8</v>
      </c>
      <c r="E1434" s="85">
        <v>357470.76</v>
      </c>
      <c r="F1434" s="85">
        <v>0</v>
      </c>
      <c r="G1434" s="85">
        <v>1983207.56</v>
      </c>
    </row>
    <row r="1435" spans="1:7" x14ac:dyDescent="0.25">
      <c r="A1435" t="s">
        <v>1883</v>
      </c>
      <c r="B1435" t="s">
        <v>1677</v>
      </c>
      <c r="C1435" t="s">
        <v>271</v>
      </c>
      <c r="D1435" s="85">
        <v>1625736.8</v>
      </c>
      <c r="E1435" s="85">
        <v>357470.76</v>
      </c>
      <c r="F1435" s="85">
        <v>0</v>
      </c>
      <c r="G1435" s="85">
        <v>1983207.56</v>
      </c>
    </row>
    <row r="1436" spans="1:7" x14ac:dyDescent="0.25">
      <c r="A1436" t="s">
        <v>2326</v>
      </c>
      <c r="B1436" t="s">
        <v>2294</v>
      </c>
      <c r="C1436" t="s">
        <v>271</v>
      </c>
      <c r="D1436" s="85">
        <v>969267.41</v>
      </c>
      <c r="E1436" s="85">
        <v>292761.92</v>
      </c>
      <c r="F1436" s="85">
        <v>0</v>
      </c>
      <c r="G1436" s="85">
        <v>1262029.33</v>
      </c>
    </row>
    <row r="1437" spans="1:7" x14ac:dyDescent="0.25">
      <c r="A1437" t="s">
        <v>2519</v>
      </c>
      <c r="B1437" t="s">
        <v>2330</v>
      </c>
      <c r="C1437" t="s">
        <v>283</v>
      </c>
      <c r="D1437" s="85">
        <v>8485</v>
      </c>
      <c r="E1437" s="85">
        <v>25</v>
      </c>
      <c r="F1437" s="85">
        <v>0</v>
      </c>
      <c r="G1437" s="85">
        <v>8510</v>
      </c>
    </row>
    <row r="1438" spans="1:7" x14ac:dyDescent="0.25">
      <c r="A1438" t="s">
        <v>2327</v>
      </c>
      <c r="B1438" t="s">
        <v>2328</v>
      </c>
      <c r="C1438" t="s">
        <v>283</v>
      </c>
      <c r="D1438" s="85">
        <v>743473.13</v>
      </c>
      <c r="E1438" s="85">
        <v>80234.73</v>
      </c>
      <c r="F1438" s="85">
        <v>0</v>
      </c>
      <c r="G1438" s="85">
        <v>823707.86</v>
      </c>
    </row>
    <row r="1439" spans="1:7" x14ac:dyDescent="0.25">
      <c r="A1439" t="s">
        <v>2520</v>
      </c>
      <c r="B1439" t="s">
        <v>2521</v>
      </c>
      <c r="C1439" t="s">
        <v>283</v>
      </c>
      <c r="D1439" s="85">
        <v>34960.01</v>
      </c>
      <c r="E1439" s="85">
        <v>2912.02</v>
      </c>
      <c r="F1439" s="85">
        <v>0</v>
      </c>
      <c r="G1439" s="85">
        <v>37872.03</v>
      </c>
    </row>
    <row r="1440" spans="1:7" x14ac:dyDescent="0.25">
      <c r="A1440" t="s">
        <v>2522</v>
      </c>
      <c r="B1440" t="s">
        <v>2523</v>
      </c>
      <c r="C1440" t="s">
        <v>283</v>
      </c>
      <c r="D1440" s="85">
        <v>174041.45</v>
      </c>
      <c r="E1440" s="85">
        <v>209590.17</v>
      </c>
      <c r="F1440" s="85">
        <v>0</v>
      </c>
      <c r="G1440" s="85">
        <v>383631.62</v>
      </c>
    </row>
    <row r="1441" spans="1:7" x14ac:dyDescent="0.25">
      <c r="A1441" t="s">
        <v>2524</v>
      </c>
      <c r="B1441" t="s">
        <v>2525</v>
      </c>
      <c r="C1441" t="s">
        <v>283</v>
      </c>
      <c r="D1441" s="85">
        <v>8307.82</v>
      </c>
      <c r="E1441" s="85">
        <v>0</v>
      </c>
      <c r="F1441" s="85">
        <v>0</v>
      </c>
      <c r="G1441" s="85">
        <v>8307.82</v>
      </c>
    </row>
    <row r="1442" spans="1:7" x14ac:dyDescent="0.25">
      <c r="A1442" t="s">
        <v>1884</v>
      </c>
      <c r="B1442" t="s">
        <v>335</v>
      </c>
      <c r="C1442" t="s">
        <v>271</v>
      </c>
      <c r="D1442" s="85">
        <v>656469.39</v>
      </c>
      <c r="E1442" s="85">
        <v>64708.84</v>
      </c>
      <c r="F1442" s="85">
        <v>0</v>
      </c>
      <c r="G1442" s="85">
        <v>721178.23</v>
      </c>
    </row>
    <row r="1443" spans="1:7" x14ac:dyDescent="0.25">
      <c r="A1443" t="s">
        <v>1885</v>
      </c>
      <c r="B1443" t="s">
        <v>1680</v>
      </c>
      <c r="C1443" t="s">
        <v>283</v>
      </c>
      <c r="D1443" s="85">
        <v>246605.22</v>
      </c>
      <c r="E1443" s="85">
        <v>33485.160000000003</v>
      </c>
      <c r="F1443" s="85">
        <v>0</v>
      </c>
      <c r="G1443" s="85">
        <v>280090.38</v>
      </c>
    </row>
    <row r="1444" spans="1:7" x14ac:dyDescent="0.25">
      <c r="A1444" t="s">
        <v>2972</v>
      </c>
      <c r="B1444" t="s">
        <v>2249</v>
      </c>
      <c r="C1444" t="s">
        <v>283</v>
      </c>
      <c r="D1444" s="85">
        <v>7181.37</v>
      </c>
      <c r="E1444" s="85">
        <v>1425.66</v>
      </c>
      <c r="F1444" s="85">
        <v>0</v>
      </c>
      <c r="G1444" s="85">
        <v>8607.0300000000007</v>
      </c>
    </row>
    <row r="1445" spans="1:7" x14ac:dyDescent="0.25">
      <c r="A1445" t="s">
        <v>1886</v>
      </c>
      <c r="B1445" t="s">
        <v>2253</v>
      </c>
      <c r="C1445" t="s">
        <v>283</v>
      </c>
      <c r="D1445" s="85">
        <v>3780</v>
      </c>
      <c r="E1445" s="85">
        <v>1780</v>
      </c>
      <c r="F1445" s="85">
        <v>0</v>
      </c>
      <c r="G1445" s="85">
        <v>5560</v>
      </c>
    </row>
    <row r="1446" spans="1:7" x14ac:dyDescent="0.25">
      <c r="A1446" t="s">
        <v>1887</v>
      </c>
      <c r="B1446" t="s">
        <v>1888</v>
      </c>
      <c r="C1446" t="s">
        <v>283</v>
      </c>
      <c r="D1446" s="85">
        <v>479.32</v>
      </c>
      <c r="E1446" s="85">
        <v>42.44</v>
      </c>
      <c r="F1446" s="85">
        <v>0</v>
      </c>
      <c r="G1446" s="85">
        <v>521.76</v>
      </c>
    </row>
    <row r="1447" spans="1:7" x14ac:dyDescent="0.25">
      <c r="A1447" t="s">
        <v>1889</v>
      </c>
      <c r="B1447" t="s">
        <v>1890</v>
      </c>
      <c r="C1447" t="s">
        <v>283</v>
      </c>
      <c r="D1447" s="85">
        <v>5434.95</v>
      </c>
      <c r="E1447" s="85">
        <v>36.65</v>
      </c>
      <c r="F1447" s="85">
        <v>0</v>
      </c>
      <c r="G1447" s="85">
        <v>5471.6</v>
      </c>
    </row>
    <row r="1448" spans="1:7" x14ac:dyDescent="0.25">
      <c r="A1448" t="s">
        <v>1891</v>
      </c>
      <c r="B1448" t="s">
        <v>2254</v>
      </c>
      <c r="C1448" t="s">
        <v>283</v>
      </c>
      <c r="D1448" s="85">
        <v>498.49</v>
      </c>
      <c r="E1448" s="85">
        <v>0</v>
      </c>
      <c r="F1448" s="85">
        <v>0</v>
      </c>
      <c r="G1448" s="85">
        <v>498.49</v>
      </c>
    </row>
    <row r="1449" spans="1:7" x14ac:dyDescent="0.25">
      <c r="A1449" t="s">
        <v>1892</v>
      </c>
      <c r="B1449" t="s">
        <v>1893</v>
      </c>
      <c r="C1449" t="s">
        <v>283</v>
      </c>
      <c r="D1449" s="85">
        <v>1857.75</v>
      </c>
      <c r="E1449" s="85">
        <v>0</v>
      </c>
      <c r="F1449" s="85">
        <v>0</v>
      </c>
      <c r="G1449" s="85">
        <v>1857.75</v>
      </c>
    </row>
    <row r="1450" spans="1:7" x14ac:dyDescent="0.25">
      <c r="A1450" t="s">
        <v>1894</v>
      </c>
      <c r="B1450" t="s">
        <v>1895</v>
      </c>
      <c r="C1450" t="s">
        <v>283</v>
      </c>
      <c r="D1450" s="85">
        <v>2658.25</v>
      </c>
      <c r="E1450" s="85">
        <v>0</v>
      </c>
      <c r="F1450" s="85">
        <v>0</v>
      </c>
      <c r="G1450" s="85">
        <v>2658.25</v>
      </c>
    </row>
    <row r="1451" spans="1:7" x14ac:dyDescent="0.25">
      <c r="A1451" t="s">
        <v>1896</v>
      </c>
      <c r="B1451" t="s">
        <v>1897</v>
      </c>
      <c r="C1451" t="s">
        <v>283</v>
      </c>
      <c r="D1451" s="85">
        <v>4778.71</v>
      </c>
      <c r="E1451" s="85">
        <v>397.84</v>
      </c>
      <c r="F1451" s="85">
        <v>0</v>
      </c>
      <c r="G1451" s="85">
        <v>5176.55</v>
      </c>
    </row>
    <row r="1452" spans="1:7" x14ac:dyDescent="0.25">
      <c r="A1452" t="s">
        <v>2329</v>
      </c>
      <c r="B1452" t="s">
        <v>2330</v>
      </c>
      <c r="C1452" t="s">
        <v>283</v>
      </c>
      <c r="D1452" s="85">
        <v>140</v>
      </c>
      <c r="E1452" s="85">
        <v>0</v>
      </c>
      <c r="F1452" s="85">
        <v>0</v>
      </c>
      <c r="G1452" s="85">
        <v>140</v>
      </c>
    </row>
    <row r="1453" spans="1:7" x14ac:dyDescent="0.25">
      <c r="A1453" t="s">
        <v>2526</v>
      </c>
      <c r="B1453" t="s">
        <v>2527</v>
      </c>
      <c r="C1453" t="s">
        <v>283</v>
      </c>
      <c r="D1453" s="85">
        <v>2210</v>
      </c>
      <c r="E1453" s="85">
        <v>0</v>
      </c>
      <c r="F1453" s="85">
        <v>0</v>
      </c>
      <c r="G1453" s="85">
        <v>2210</v>
      </c>
    </row>
    <row r="1454" spans="1:7" x14ac:dyDescent="0.25">
      <c r="A1454" t="s">
        <v>2528</v>
      </c>
      <c r="B1454" t="s">
        <v>2529</v>
      </c>
      <c r="C1454" t="s">
        <v>283</v>
      </c>
      <c r="D1454" s="85">
        <v>595</v>
      </c>
      <c r="E1454" s="85">
        <v>128</v>
      </c>
      <c r="F1454" s="85">
        <v>0</v>
      </c>
      <c r="G1454" s="85">
        <v>723</v>
      </c>
    </row>
    <row r="1455" spans="1:7" x14ac:dyDescent="0.25">
      <c r="A1455" t="s">
        <v>2331</v>
      </c>
      <c r="B1455" t="s">
        <v>2332</v>
      </c>
      <c r="C1455" t="s">
        <v>283</v>
      </c>
      <c r="D1455" s="85">
        <v>89378.05</v>
      </c>
      <c r="E1455" s="85">
        <v>0</v>
      </c>
      <c r="F1455" s="85">
        <v>0</v>
      </c>
      <c r="G1455" s="85">
        <v>89378.05</v>
      </c>
    </row>
    <row r="1456" spans="1:7" x14ac:dyDescent="0.25">
      <c r="A1456" t="s">
        <v>1898</v>
      </c>
      <c r="B1456" t="s">
        <v>1899</v>
      </c>
      <c r="C1456" t="s">
        <v>283</v>
      </c>
      <c r="D1456" s="85">
        <v>193269.56</v>
      </c>
      <c r="E1456" s="85">
        <v>19071.82</v>
      </c>
      <c r="F1456" s="85">
        <v>0</v>
      </c>
      <c r="G1456" s="85">
        <v>212341.38</v>
      </c>
    </row>
    <row r="1457" spans="1:7" x14ac:dyDescent="0.25">
      <c r="A1457" t="s">
        <v>2333</v>
      </c>
      <c r="B1457" t="s">
        <v>2334</v>
      </c>
      <c r="C1457" t="s">
        <v>283</v>
      </c>
      <c r="D1457" s="85">
        <v>3219.54</v>
      </c>
      <c r="E1457" s="85">
        <v>1073.18</v>
      </c>
      <c r="F1457" s="85">
        <v>0</v>
      </c>
      <c r="G1457" s="85">
        <v>4292.72</v>
      </c>
    </row>
    <row r="1458" spans="1:7" x14ac:dyDescent="0.25">
      <c r="A1458" t="s">
        <v>1900</v>
      </c>
      <c r="B1458" t="s">
        <v>1901</v>
      </c>
      <c r="C1458" t="s">
        <v>283</v>
      </c>
      <c r="D1458" s="85">
        <v>71206.59</v>
      </c>
      <c r="E1458" s="85">
        <v>1105.5</v>
      </c>
      <c r="F1458" s="85">
        <v>0</v>
      </c>
      <c r="G1458" s="85">
        <v>72312.09</v>
      </c>
    </row>
    <row r="1459" spans="1:7" x14ac:dyDescent="0.25">
      <c r="A1459" t="s">
        <v>1902</v>
      </c>
      <c r="B1459" t="s">
        <v>1903</v>
      </c>
      <c r="C1459" t="s">
        <v>283</v>
      </c>
      <c r="D1459" s="85">
        <v>386</v>
      </c>
      <c r="E1459" s="85">
        <v>0</v>
      </c>
      <c r="F1459" s="85">
        <v>0</v>
      </c>
      <c r="G1459" s="85">
        <v>386</v>
      </c>
    </row>
    <row r="1460" spans="1:7" x14ac:dyDescent="0.25">
      <c r="A1460" t="s">
        <v>2530</v>
      </c>
      <c r="B1460" t="s">
        <v>2221</v>
      </c>
      <c r="C1460" t="s">
        <v>283</v>
      </c>
      <c r="D1460" s="85">
        <v>104</v>
      </c>
      <c r="E1460" s="85">
        <v>0</v>
      </c>
      <c r="F1460" s="85">
        <v>0</v>
      </c>
      <c r="G1460" s="85">
        <v>104</v>
      </c>
    </row>
    <row r="1461" spans="1:7" x14ac:dyDescent="0.25">
      <c r="A1461" t="s">
        <v>2335</v>
      </c>
      <c r="B1461" t="s">
        <v>2336</v>
      </c>
      <c r="C1461" t="s">
        <v>283</v>
      </c>
      <c r="D1461" s="85">
        <v>13500</v>
      </c>
      <c r="E1461" s="85">
        <v>4500</v>
      </c>
      <c r="F1461" s="85">
        <v>0</v>
      </c>
      <c r="G1461" s="85">
        <v>18000</v>
      </c>
    </row>
    <row r="1462" spans="1:7" x14ac:dyDescent="0.25">
      <c r="A1462" t="s">
        <v>2531</v>
      </c>
      <c r="B1462" t="s">
        <v>2532</v>
      </c>
      <c r="C1462" t="s">
        <v>283</v>
      </c>
      <c r="D1462" s="85">
        <v>624</v>
      </c>
      <c r="E1462" s="85">
        <v>0</v>
      </c>
      <c r="F1462" s="85">
        <v>0</v>
      </c>
      <c r="G1462" s="85">
        <v>624</v>
      </c>
    </row>
    <row r="1463" spans="1:7" x14ac:dyDescent="0.25">
      <c r="A1463" t="s">
        <v>2533</v>
      </c>
      <c r="B1463" t="s">
        <v>2534</v>
      </c>
      <c r="C1463" t="s">
        <v>283</v>
      </c>
      <c r="D1463" s="85">
        <v>249.6</v>
      </c>
      <c r="E1463" s="85">
        <v>0</v>
      </c>
      <c r="F1463" s="85">
        <v>0</v>
      </c>
      <c r="G1463" s="85">
        <v>249.6</v>
      </c>
    </row>
    <row r="1464" spans="1:7" x14ac:dyDescent="0.25">
      <c r="A1464" t="s">
        <v>2973</v>
      </c>
      <c r="B1464" t="s">
        <v>2974</v>
      </c>
      <c r="C1464" t="s">
        <v>283</v>
      </c>
      <c r="D1464" s="85">
        <v>8312.99</v>
      </c>
      <c r="E1464" s="85">
        <v>1662.59</v>
      </c>
      <c r="F1464" s="85">
        <v>0</v>
      </c>
      <c r="G1464" s="85">
        <v>9975.58</v>
      </c>
    </row>
    <row r="1465" spans="1:7" x14ac:dyDescent="0.25">
      <c r="A1465" t="s">
        <v>1904</v>
      </c>
      <c r="B1465" t="s">
        <v>1702</v>
      </c>
      <c r="C1465" t="s">
        <v>271</v>
      </c>
      <c r="D1465" s="85">
        <v>20465.689999999999</v>
      </c>
      <c r="E1465" s="85">
        <v>2291.44</v>
      </c>
      <c r="F1465" s="85">
        <v>0</v>
      </c>
      <c r="G1465" s="85">
        <v>22757.13</v>
      </c>
    </row>
    <row r="1466" spans="1:7" x14ac:dyDescent="0.25">
      <c r="A1466" t="s">
        <v>1905</v>
      </c>
      <c r="B1466" t="s">
        <v>1702</v>
      </c>
      <c r="C1466" t="s">
        <v>271</v>
      </c>
      <c r="D1466" s="85">
        <v>20465.689999999999</v>
      </c>
      <c r="E1466" s="85">
        <v>2291.44</v>
      </c>
      <c r="F1466" s="85">
        <v>0</v>
      </c>
      <c r="G1466" s="85">
        <v>22757.13</v>
      </c>
    </row>
    <row r="1467" spans="1:7" x14ac:dyDescent="0.25">
      <c r="A1467" t="s">
        <v>1906</v>
      </c>
      <c r="B1467" t="s">
        <v>335</v>
      </c>
      <c r="C1467" t="s">
        <v>271</v>
      </c>
      <c r="D1467" s="85">
        <v>20465.689999999999</v>
      </c>
      <c r="E1467" s="85">
        <v>2291.44</v>
      </c>
      <c r="F1467" s="85">
        <v>0</v>
      </c>
      <c r="G1467" s="85">
        <v>22757.13</v>
      </c>
    </row>
    <row r="1468" spans="1:7" x14ac:dyDescent="0.25">
      <c r="A1468" t="s">
        <v>1907</v>
      </c>
      <c r="B1468" t="s">
        <v>1908</v>
      </c>
      <c r="C1468" t="s">
        <v>283</v>
      </c>
      <c r="D1468" s="85">
        <v>2721.97</v>
      </c>
      <c r="E1468" s="85">
        <v>180.53</v>
      </c>
      <c r="F1468" s="85">
        <v>0</v>
      </c>
      <c r="G1468" s="85">
        <v>2902.5</v>
      </c>
    </row>
    <row r="1469" spans="1:7" x14ac:dyDescent="0.25">
      <c r="A1469" t="s">
        <v>2337</v>
      </c>
      <c r="B1469" t="s">
        <v>1702</v>
      </c>
      <c r="C1469" t="s">
        <v>283</v>
      </c>
      <c r="D1469" s="85">
        <v>17743.72</v>
      </c>
      <c r="E1469" s="85">
        <v>2110.91</v>
      </c>
      <c r="F1469" s="85">
        <v>0</v>
      </c>
      <c r="G1469" s="85">
        <v>19854.63</v>
      </c>
    </row>
    <row r="1470" spans="1:7" x14ac:dyDescent="0.25">
      <c r="A1470" t="s">
        <v>1909</v>
      </c>
      <c r="B1470" t="s">
        <v>1910</v>
      </c>
      <c r="C1470" t="s">
        <v>271</v>
      </c>
      <c r="D1470" s="85">
        <v>-230276.28</v>
      </c>
      <c r="E1470" s="85">
        <v>0</v>
      </c>
      <c r="F1470" s="85">
        <v>0</v>
      </c>
      <c r="G1470" s="85">
        <v>-230276.28</v>
      </c>
    </row>
    <row r="1471" spans="1:7" x14ac:dyDescent="0.25">
      <c r="A1471" t="s">
        <v>2975</v>
      </c>
      <c r="B1471" t="s">
        <v>2959</v>
      </c>
      <c r="C1471" t="s">
        <v>271</v>
      </c>
      <c r="D1471" s="85">
        <v>-230276.28</v>
      </c>
      <c r="E1471" s="85">
        <v>0</v>
      </c>
      <c r="F1471" s="85">
        <v>0</v>
      </c>
      <c r="G1471" s="85">
        <v>-230276.28</v>
      </c>
    </row>
    <row r="1472" spans="1:7" x14ac:dyDescent="0.25">
      <c r="A1472" t="s">
        <v>2976</v>
      </c>
      <c r="B1472" t="s">
        <v>2977</v>
      </c>
      <c r="C1472" t="s">
        <v>271</v>
      </c>
      <c r="D1472" s="85">
        <v>-230276.28</v>
      </c>
      <c r="E1472" s="85">
        <v>0</v>
      </c>
      <c r="F1472" s="85">
        <v>0</v>
      </c>
      <c r="G1472" s="85">
        <v>-230276.28</v>
      </c>
    </row>
    <row r="1473" spans="1:7" x14ac:dyDescent="0.25">
      <c r="A1473" t="s">
        <v>2978</v>
      </c>
      <c r="B1473" t="s">
        <v>2979</v>
      </c>
      <c r="C1473" t="s">
        <v>283</v>
      </c>
      <c r="D1473" s="85">
        <v>-230276.28</v>
      </c>
      <c r="E1473" s="85">
        <v>0</v>
      </c>
      <c r="F1473" s="85">
        <v>0</v>
      </c>
      <c r="G1473" s="85">
        <v>-230276.28</v>
      </c>
    </row>
    <row r="1474" spans="1:7" x14ac:dyDescent="0.25">
      <c r="A1474" t="s">
        <v>2338</v>
      </c>
      <c r="B1474" t="s">
        <v>1713</v>
      </c>
      <c r="C1474" t="s">
        <v>271</v>
      </c>
      <c r="D1474" s="85">
        <v>0</v>
      </c>
      <c r="E1474" s="85">
        <v>0</v>
      </c>
      <c r="F1474" s="85">
        <v>419.84</v>
      </c>
      <c r="G1474" s="85">
        <v>-419.84</v>
      </c>
    </row>
    <row r="1475" spans="1:7" x14ac:dyDescent="0.25">
      <c r="A1475" t="s">
        <v>2339</v>
      </c>
      <c r="B1475" t="s">
        <v>1714</v>
      </c>
      <c r="C1475" t="s">
        <v>271</v>
      </c>
      <c r="D1475" s="85">
        <v>0</v>
      </c>
      <c r="E1475" s="85">
        <v>0</v>
      </c>
      <c r="F1475" s="85">
        <v>419.84</v>
      </c>
      <c r="G1475" s="85">
        <v>-419.84</v>
      </c>
    </row>
    <row r="1476" spans="1:7" x14ac:dyDescent="0.25">
      <c r="A1476" t="s">
        <v>2340</v>
      </c>
      <c r="B1476" t="s">
        <v>335</v>
      </c>
      <c r="C1476" t="s">
        <v>271</v>
      </c>
      <c r="D1476" s="85">
        <v>0</v>
      </c>
      <c r="E1476" s="85">
        <v>0</v>
      </c>
      <c r="F1476" s="85">
        <v>419.84</v>
      </c>
      <c r="G1476" s="85">
        <v>-419.84</v>
      </c>
    </row>
    <row r="1477" spans="1:7" x14ac:dyDescent="0.25">
      <c r="A1477" t="s">
        <v>2980</v>
      </c>
      <c r="B1477" t="s">
        <v>2981</v>
      </c>
      <c r="C1477" t="s">
        <v>283</v>
      </c>
      <c r="D1477" s="85">
        <v>0</v>
      </c>
      <c r="E1477" s="85">
        <v>0</v>
      </c>
      <c r="F1477" s="85">
        <v>419.84</v>
      </c>
      <c r="G1477" s="85">
        <v>-419.84</v>
      </c>
    </row>
    <row r="1478" spans="1:7" x14ac:dyDescent="0.25">
      <c r="A1478" t="s">
        <v>1911</v>
      </c>
      <c r="B1478" t="s">
        <v>1042</v>
      </c>
      <c r="C1478" t="s">
        <v>271</v>
      </c>
      <c r="D1478" s="85">
        <v>12368.12</v>
      </c>
      <c r="E1478" s="85">
        <v>444.71</v>
      </c>
      <c r="F1478" s="85">
        <v>0</v>
      </c>
      <c r="G1478" s="85">
        <v>12812.83</v>
      </c>
    </row>
    <row r="1479" spans="1:7" x14ac:dyDescent="0.25">
      <c r="A1479" t="s">
        <v>1912</v>
      </c>
      <c r="B1479" t="s">
        <v>1042</v>
      </c>
      <c r="C1479" t="s">
        <v>271</v>
      </c>
      <c r="D1479" s="85">
        <v>12368.12</v>
      </c>
      <c r="E1479" s="85">
        <v>444.71</v>
      </c>
      <c r="F1479" s="85">
        <v>0</v>
      </c>
      <c r="G1479" s="85">
        <v>12812.83</v>
      </c>
    </row>
    <row r="1480" spans="1:7" x14ac:dyDescent="0.25">
      <c r="A1480" t="s">
        <v>2982</v>
      </c>
      <c r="B1480" t="s">
        <v>2294</v>
      </c>
      <c r="C1480" t="s">
        <v>271</v>
      </c>
      <c r="D1480" s="85">
        <v>2999.28</v>
      </c>
      <c r="E1480" s="85">
        <v>0</v>
      </c>
      <c r="F1480" s="85">
        <v>0</v>
      </c>
      <c r="G1480" s="85">
        <v>2999.28</v>
      </c>
    </row>
    <row r="1481" spans="1:7" x14ac:dyDescent="0.25">
      <c r="A1481" t="s">
        <v>2983</v>
      </c>
      <c r="B1481" t="s">
        <v>2290</v>
      </c>
      <c r="C1481" t="s">
        <v>283</v>
      </c>
      <c r="D1481" s="85">
        <v>2999.28</v>
      </c>
      <c r="E1481" s="85">
        <v>0</v>
      </c>
      <c r="F1481" s="85">
        <v>0</v>
      </c>
      <c r="G1481" s="85">
        <v>2999.28</v>
      </c>
    </row>
    <row r="1482" spans="1:7" x14ac:dyDescent="0.25">
      <c r="A1482" t="s">
        <v>1913</v>
      </c>
      <c r="B1482" t="s">
        <v>335</v>
      </c>
      <c r="C1482" t="s">
        <v>271</v>
      </c>
      <c r="D1482" s="85">
        <v>9368.84</v>
      </c>
      <c r="E1482" s="85">
        <v>444.71</v>
      </c>
      <c r="F1482" s="85">
        <v>0</v>
      </c>
      <c r="G1482" s="85">
        <v>9813.5499999999993</v>
      </c>
    </row>
    <row r="1483" spans="1:7" x14ac:dyDescent="0.25">
      <c r="A1483" t="s">
        <v>2535</v>
      </c>
      <c r="B1483" t="s">
        <v>2505</v>
      </c>
      <c r="C1483" t="s">
        <v>283</v>
      </c>
      <c r="D1483" s="85">
        <v>60.69</v>
      </c>
      <c r="E1483" s="85">
        <v>0</v>
      </c>
      <c r="F1483" s="85">
        <v>0</v>
      </c>
      <c r="G1483" s="85">
        <v>60.69</v>
      </c>
    </row>
    <row r="1484" spans="1:7" x14ac:dyDescent="0.25">
      <c r="A1484" t="s">
        <v>1914</v>
      </c>
      <c r="B1484" t="s">
        <v>2290</v>
      </c>
      <c r="C1484" t="s">
        <v>283</v>
      </c>
      <c r="D1484" s="85">
        <v>2796.11</v>
      </c>
      <c r="E1484" s="85">
        <v>0</v>
      </c>
      <c r="F1484" s="85">
        <v>0</v>
      </c>
      <c r="G1484" s="85">
        <v>2796.11</v>
      </c>
    </row>
    <row r="1485" spans="1:7" x14ac:dyDescent="0.25">
      <c r="A1485" t="s">
        <v>1915</v>
      </c>
      <c r="B1485" t="s">
        <v>1916</v>
      </c>
      <c r="C1485" t="s">
        <v>283</v>
      </c>
      <c r="D1485" s="85">
        <v>6512.04</v>
      </c>
      <c r="E1485" s="85">
        <v>444.71</v>
      </c>
      <c r="F1485" s="85">
        <v>0</v>
      </c>
      <c r="G1485" s="85">
        <v>6956.75</v>
      </c>
    </row>
    <row r="1486" spans="1:7" x14ac:dyDescent="0.25">
      <c r="A1486" t="s">
        <v>1917</v>
      </c>
      <c r="B1486" t="s">
        <v>1721</v>
      </c>
      <c r="C1486" t="s">
        <v>271</v>
      </c>
      <c r="D1486" s="85">
        <v>144146.56</v>
      </c>
      <c r="E1486" s="85">
        <v>12539.92</v>
      </c>
      <c r="F1486" s="85">
        <v>0</v>
      </c>
      <c r="G1486" s="85">
        <v>156686.48000000001</v>
      </c>
    </row>
    <row r="1487" spans="1:7" x14ac:dyDescent="0.25">
      <c r="A1487" t="s">
        <v>1918</v>
      </c>
      <c r="B1487" t="s">
        <v>1721</v>
      </c>
      <c r="C1487" t="s">
        <v>271</v>
      </c>
      <c r="D1487" s="85">
        <v>144146.56</v>
      </c>
      <c r="E1487" s="85">
        <v>12539.92</v>
      </c>
      <c r="F1487" s="85">
        <v>0</v>
      </c>
      <c r="G1487" s="85">
        <v>156686.48000000001</v>
      </c>
    </row>
    <row r="1488" spans="1:7" x14ac:dyDescent="0.25">
      <c r="A1488" t="s">
        <v>2536</v>
      </c>
      <c r="B1488" t="s">
        <v>2294</v>
      </c>
      <c r="C1488" t="s">
        <v>271</v>
      </c>
      <c r="D1488" s="85">
        <v>22442.09</v>
      </c>
      <c r="E1488" s="85">
        <v>2040.19</v>
      </c>
      <c r="F1488" s="85">
        <v>0</v>
      </c>
      <c r="G1488" s="85">
        <v>24482.28</v>
      </c>
    </row>
    <row r="1489" spans="1:7" x14ac:dyDescent="0.25">
      <c r="A1489" t="s">
        <v>2537</v>
      </c>
      <c r="B1489" t="s">
        <v>2538</v>
      </c>
      <c r="C1489" t="s">
        <v>283</v>
      </c>
      <c r="D1489" s="85">
        <v>22442.09</v>
      </c>
      <c r="E1489" s="85">
        <v>2040.19</v>
      </c>
      <c r="F1489" s="85">
        <v>0</v>
      </c>
      <c r="G1489" s="85">
        <v>24482.28</v>
      </c>
    </row>
    <row r="1490" spans="1:7" x14ac:dyDescent="0.25">
      <c r="A1490" t="s">
        <v>1919</v>
      </c>
      <c r="B1490" t="s">
        <v>335</v>
      </c>
      <c r="C1490" t="s">
        <v>271</v>
      </c>
      <c r="D1490" s="85">
        <v>121704.47</v>
      </c>
      <c r="E1490" s="85">
        <v>10499.73</v>
      </c>
      <c r="F1490" s="85">
        <v>0</v>
      </c>
      <c r="G1490" s="85">
        <v>132204.20000000001</v>
      </c>
    </row>
    <row r="1491" spans="1:7" x14ac:dyDescent="0.25">
      <c r="A1491" t="s">
        <v>1920</v>
      </c>
      <c r="B1491" t="s">
        <v>1721</v>
      </c>
      <c r="C1491" t="s">
        <v>283</v>
      </c>
      <c r="D1491" s="85">
        <v>82443.710000000006</v>
      </c>
      <c r="E1491" s="85">
        <v>6930.57</v>
      </c>
      <c r="F1491" s="85">
        <v>0</v>
      </c>
      <c r="G1491" s="85">
        <v>89374.28</v>
      </c>
    </row>
    <row r="1492" spans="1:7" x14ac:dyDescent="0.25">
      <c r="A1492" t="s">
        <v>1921</v>
      </c>
      <c r="B1492" t="s">
        <v>1922</v>
      </c>
      <c r="C1492" t="s">
        <v>283</v>
      </c>
      <c r="D1492" s="85">
        <v>39260.76</v>
      </c>
      <c r="E1492" s="85">
        <v>3569.16</v>
      </c>
      <c r="F1492" s="85">
        <v>0</v>
      </c>
      <c r="G1492" s="85">
        <v>42829.919999999998</v>
      </c>
    </row>
    <row r="1493" spans="1:7" x14ac:dyDescent="0.25">
      <c r="A1493" t="s">
        <v>2984</v>
      </c>
      <c r="B1493" t="s">
        <v>1731</v>
      </c>
      <c r="C1493" t="s">
        <v>271</v>
      </c>
      <c r="D1493" s="85">
        <v>308399.02</v>
      </c>
      <c r="E1493" s="85">
        <v>14685.67</v>
      </c>
      <c r="F1493" s="85">
        <v>14685.67</v>
      </c>
      <c r="G1493" s="85">
        <v>308399.02</v>
      </c>
    </row>
    <row r="1494" spans="1:7" x14ac:dyDescent="0.25">
      <c r="A1494" t="s">
        <v>2985</v>
      </c>
      <c r="B1494" t="s">
        <v>1731</v>
      </c>
      <c r="C1494" t="s">
        <v>271</v>
      </c>
      <c r="D1494" s="85">
        <v>308399.02</v>
      </c>
      <c r="E1494" s="85">
        <v>14685.67</v>
      </c>
      <c r="F1494" s="85">
        <v>14685.67</v>
      </c>
      <c r="G1494" s="85">
        <v>308399.02</v>
      </c>
    </row>
    <row r="1495" spans="1:7" x14ac:dyDescent="0.25">
      <c r="A1495" t="s">
        <v>2986</v>
      </c>
      <c r="B1495" t="s">
        <v>2987</v>
      </c>
      <c r="C1495" t="s">
        <v>283</v>
      </c>
      <c r="D1495" s="85">
        <v>308399.02</v>
      </c>
      <c r="E1495" s="85">
        <v>14685.67</v>
      </c>
      <c r="F1495" s="85">
        <v>14685.67</v>
      </c>
      <c r="G1495" s="85">
        <v>308399.02</v>
      </c>
    </row>
    <row r="1496" spans="1:7" x14ac:dyDescent="0.25">
      <c r="A1496" t="s">
        <v>1923</v>
      </c>
      <c r="B1496" t="s">
        <v>1739</v>
      </c>
      <c r="C1496" t="s">
        <v>271</v>
      </c>
      <c r="D1496" s="85">
        <v>150261.54</v>
      </c>
      <c r="E1496" s="85">
        <v>11449.06</v>
      </c>
      <c r="F1496" s="85">
        <v>0</v>
      </c>
      <c r="G1496" s="85">
        <v>161710.6</v>
      </c>
    </row>
    <row r="1497" spans="1:7" x14ac:dyDescent="0.25">
      <c r="A1497" t="s">
        <v>1924</v>
      </c>
      <c r="B1497" t="s">
        <v>1741</v>
      </c>
      <c r="C1497" t="s">
        <v>271</v>
      </c>
      <c r="D1497" s="85">
        <v>922.4</v>
      </c>
      <c r="E1497" s="85">
        <v>787.64</v>
      </c>
      <c r="F1497" s="85">
        <v>0</v>
      </c>
      <c r="G1497" s="85">
        <v>1710.04</v>
      </c>
    </row>
    <row r="1498" spans="1:7" x14ac:dyDescent="0.25">
      <c r="A1498" t="s">
        <v>1925</v>
      </c>
      <c r="B1498" t="s">
        <v>335</v>
      </c>
      <c r="C1498" t="s">
        <v>271</v>
      </c>
      <c r="D1498" s="85">
        <v>922.4</v>
      </c>
      <c r="E1498" s="85">
        <v>787.64</v>
      </c>
      <c r="F1498" s="85">
        <v>0</v>
      </c>
      <c r="G1498" s="85">
        <v>1710.04</v>
      </c>
    </row>
    <row r="1499" spans="1:7" x14ac:dyDescent="0.25">
      <c r="A1499" t="s">
        <v>1926</v>
      </c>
      <c r="B1499" t="s">
        <v>1927</v>
      </c>
      <c r="C1499" t="s">
        <v>283</v>
      </c>
      <c r="D1499" s="85">
        <v>922.4</v>
      </c>
      <c r="E1499" s="85">
        <v>787.64</v>
      </c>
      <c r="F1499" s="85">
        <v>0</v>
      </c>
      <c r="G1499" s="85">
        <v>1710.04</v>
      </c>
    </row>
    <row r="1500" spans="1:7" x14ac:dyDescent="0.25">
      <c r="A1500" t="s">
        <v>1928</v>
      </c>
      <c r="B1500" t="s">
        <v>331</v>
      </c>
      <c r="C1500" t="s">
        <v>271</v>
      </c>
      <c r="D1500" s="85">
        <v>149339.14000000001</v>
      </c>
      <c r="E1500" s="85">
        <v>10661.42</v>
      </c>
      <c r="F1500" s="85">
        <v>0</v>
      </c>
      <c r="G1500" s="85">
        <v>160000.56</v>
      </c>
    </row>
    <row r="1501" spans="1:7" x14ac:dyDescent="0.25">
      <c r="A1501" t="s">
        <v>2988</v>
      </c>
      <c r="B1501" t="s">
        <v>1931</v>
      </c>
      <c r="C1501" t="s">
        <v>283</v>
      </c>
      <c r="D1501" s="85">
        <v>2902.53</v>
      </c>
      <c r="E1501" s="85">
        <v>530.01</v>
      </c>
      <c r="F1501" s="85">
        <v>0</v>
      </c>
      <c r="G1501" s="85">
        <v>3432.54</v>
      </c>
    </row>
    <row r="1502" spans="1:7" x14ac:dyDescent="0.25">
      <c r="A1502" t="s">
        <v>1929</v>
      </c>
      <c r="B1502" t="s">
        <v>335</v>
      </c>
      <c r="C1502" t="s">
        <v>271</v>
      </c>
      <c r="D1502" s="85">
        <v>146436.60999999999</v>
      </c>
      <c r="E1502" s="85">
        <v>10131.41</v>
      </c>
      <c r="F1502" s="85">
        <v>0</v>
      </c>
      <c r="G1502" s="85">
        <v>156568.01999999999</v>
      </c>
    </row>
    <row r="1503" spans="1:7" x14ac:dyDescent="0.25">
      <c r="A1503" t="s">
        <v>1930</v>
      </c>
      <c r="B1503" t="s">
        <v>1931</v>
      </c>
      <c r="C1503" t="s">
        <v>283</v>
      </c>
      <c r="D1503" s="85">
        <v>35292.14</v>
      </c>
      <c r="E1503" s="85">
        <v>3962.4</v>
      </c>
      <c r="F1503" s="85">
        <v>0</v>
      </c>
      <c r="G1503" s="85">
        <v>39254.54</v>
      </c>
    </row>
    <row r="1504" spans="1:7" x14ac:dyDescent="0.25">
      <c r="A1504" t="s">
        <v>1932</v>
      </c>
      <c r="B1504" t="s">
        <v>1933</v>
      </c>
      <c r="C1504" t="s">
        <v>283</v>
      </c>
      <c r="D1504" s="85">
        <v>33410.400000000001</v>
      </c>
      <c r="E1504" s="85">
        <v>2720</v>
      </c>
      <c r="F1504" s="85">
        <v>0</v>
      </c>
      <c r="G1504" s="85">
        <v>36130.400000000001</v>
      </c>
    </row>
    <row r="1505" spans="1:7" x14ac:dyDescent="0.25">
      <c r="A1505" t="s">
        <v>1934</v>
      </c>
      <c r="B1505" t="s">
        <v>1083</v>
      </c>
      <c r="C1505" t="s">
        <v>283</v>
      </c>
      <c r="D1505" s="85">
        <v>47604.1</v>
      </c>
      <c r="E1505" s="85">
        <v>2899.01</v>
      </c>
      <c r="F1505" s="85">
        <v>0</v>
      </c>
      <c r="G1505" s="85">
        <v>50503.11</v>
      </c>
    </row>
    <row r="1506" spans="1:7" x14ac:dyDescent="0.25">
      <c r="A1506" t="s">
        <v>1935</v>
      </c>
      <c r="B1506" t="s">
        <v>1936</v>
      </c>
      <c r="C1506" t="s">
        <v>283</v>
      </c>
      <c r="D1506" s="85">
        <v>4462.6899999999996</v>
      </c>
      <c r="E1506" s="85">
        <v>0</v>
      </c>
      <c r="F1506" s="85">
        <v>0</v>
      </c>
      <c r="G1506" s="85">
        <v>4462.6899999999996</v>
      </c>
    </row>
    <row r="1507" spans="1:7" x14ac:dyDescent="0.25">
      <c r="A1507" t="s">
        <v>1937</v>
      </c>
      <c r="B1507" t="s">
        <v>1938</v>
      </c>
      <c r="C1507" t="s">
        <v>283</v>
      </c>
      <c r="D1507" s="85">
        <v>1445.2</v>
      </c>
      <c r="E1507" s="85">
        <v>0</v>
      </c>
      <c r="F1507" s="85">
        <v>0</v>
      </c>
      <c r="G1507" s="85">
        <v>1445.2</v>
      </c>
    </row>
    <row r="1508" spans="1:7" x14ac:dyDescent="0.25">
      <c r="A1508" t="s">
        <v>1939</v>
      </c>
      <c r="B1508" t="s">
        <v>1940</v>
      </c>
      <c r="C1508" t="s">
        <v>283</v>
      </c>
      <c r="D1508" s="85">
        <v>553.36</v>
      </c>
      <c r="E1508" s="85">
        <v>0</v>
      </c>
      <c r="F1508" s="85">
        <v>0</v>
      </c>
      <c r="G1508" s="85">
        <v>553.36</v>
      </c>
    </row>
    <row r="1509" spans="1:7" x14ac:dyDescent="0.25">
      <c r="A1509" t="s">
        <v>1941</v>
      </c>
      <c r="B1509" t="s">
        <v>1942</v>
      </c>
      <c r="C1509" t="s">
        <v>283</v>
      </c>
      <c r="D1509" s="85">
        <v>6050</v>
      </c>
      <c r="E1509" s="85">
        <v>550</v>
      </c>
      <c r="F1509" s="85">
        <v>0</v>
      </c>
      <c r="G1509" s="85">
        <v>6600</v>
      </c>
    </row>
    <row r="1510" spans="1:7" x14ac:dyDescent="0.25">
      <c r="A1510" t="s">
        <v>2341</v>
      </c>
      <c r="B1510" t="s">
        <v>2342</v>
      </c>
      <c r="C1510" t="s">
        <v>283</v>
      </c>
      <c r="D1510" s="85">
        <v>17618.72</v>
      </c>
      <c r="E1510" s="85">
        <v>0</v>
      </c>
      <c r="F1510" s="85">
        <v>0</v>
      </c>
      <c r="G1510" s="85">
        <v>17618.72</v>
      </c>
    </row>
    <row r="1511" spans="1:7" x14ac:dyDescent="0.25">
      <c r="A1511" t="s">
        <v>1943</v>
      </c>
      <c r="B1511" t="s">
        <v>1944</v>
      </c>
      <c r="C1511" t="s">
        <v>271</v>
      </c>
      <c r="D1511" s="85">
        <v>-2741675.24</v>
      </c>
      <c r="E1511" s="85">
        <v>0</v>
      </c>
      <c r="F1511" s="85">
        <v>0</v>
      </c>
      <c r="G1511" s="85">
        <v>-2741675.24</v>
      </c>
    </row>
    <row r="1512" spans="1:7" x14ac:dyDescent="0.25">
      <c r="A1512" t="s">
        <v>1945</v>
      </c>
      <c r="B1512" t="s">
        <v>581</v>
      </c>
      <c r="C1512" t="s">
        <v>271</v>
      </c>
      <c r="D1512" s="85">
        <v>-2741675.24</v>
      </c>
      <c r="E1512" s="85">
        <v>0</v>
      </c>
      <c r="F1512" s="85">
        <v>0</v>
      </c>
      <c r="G1512" s="85">
        <v>-2741675.24</v>
      </c>
    </row>
    <row r="1513" spans="1:7" x14ac:dyDescent="0.25">
      <c r="A1513" t="s">
        <v>1946</v>
      </c>
      <c r="B1513" t="s">
        <v>1753</v>
      </c>
      <c r="C1513" t="s">
        <v>283</v>
      </c>
      <c r="D1513" s="85">
        <v>-2741675.24</v>
      </c>
      <c r="E1513" s="85">
        <v>0</v>
      </c>
      <c r="F1513" s="85">
        <v>0</v>
      </c>
      <c r="G1513" s="85">
        <v>-2741675.24</v>
      </c>
    </row>
    <row r="1514" spans="1:7" x14ac:dyDescent="0.25">
      <c r="A1514" t="s">
        <v>1947</v>
      </c>
      <c r="B1514" t="s">
        <v>1948</v>
      </c>
      <c r="C1514" t="s">
        <v>271</v>
      </c>
      <c r="D1514" s="85">
        <v>-1806303.01</v>
      </c>
      <c r="E1514" s="85">
        <v>0</v>
      </c>
      <c r="F1514" s="85">
        <v>0</v>
      </c>
      <c r="G1514" s="85">
        <v>-1806303.01</v>
      </c>
    </row>
    <row r="1515" spans="1:7" x14ac:dyDescent="0.25">
      <c r="A1515" t="s">
        <v>1949</v>
      </c>
      <c r="B1515" t="s">
        <v>581</v>
      </c>
      <c r="C1515" t="s">
        <v>271</v>
      </c>
      <c r="D1515" s="85">
        <v>-1806303.01</v>
      </c>
      <c r="E1515" s="85">
        <v>0</v>
      </c>
      <c r="F1515" s="85">
        <v>0</v>
      </c>
      <c r="G1515" s="85">
        <v>-1806303.01</v>
      </c>
    </row>
    <row r="1516" spans="1:7" x14ac:dyDescent="0.25">
      <c r="A1516" t="s">
        <v>1950</v>
      </c>
      <c r="B1516" t="s">
        <v>1753</v>
      </c>
      <c r="C1516" t="s">
        <v>283</v>
      </c>
      <c r="D1516" s="85">
        <v>-1806303.01</v>
      </c>
      <c r="E1516" s="85">
        <v>0</v>
      </c>
      <c r="F1516" s="85">
        <v>0</v>
      </c>
      <c r="G1516" s="85">
        <v>-1806303.01</v>
      </c>
    </row>
    <row r="1517" spans="1:7" x14ac:dyDescent="0.25">
      <c r="A1517" t="s">
        <v>1951</v>
      </c>
      <c r="B1517" t="s">
        <v>1952</v>
      </c>
      <c r="C1517" t="s">
        <v>271</v>
      </c>
      <c r="D1517" s="85">
        <v>-2562694.9900000002</v>
      </c>
      <c r="E1517" s="85">
        <v>0</v>
      </c>
      <c r="F1517" s="85">
        <v>0</v>
      </c>
      <c r="G1517" s="85">
        <v>-2562694.9900000002</v>
      </c>
    </row>
    <row r="1518" spans="1:7" x14ac:dyDescent="0.25">
      <c r="A1518" t="s">
        <v>1953</v>
      </c>
      <c r="B1518" t="s">
        <v>581</v>
      </c>
      <c r="C1518" t="s">
        <v>271</v>
      </c>
      <c r="D1518" s="85">
        <v>-2562694.9900000002</v>
      </c>
      <c r="E1518" s="85">
        <v>0</v>
      </c>
      <c r="F1518" s="85">
        <v>0</v>
      </c>
      <c r="G1518" s="85">
        <v>-2562694.9900000002</v>
      </c>
    </row>
    <row r="1519" spans="1:7" x14ac:dyDescent="0.25">
      <c r="A1519" t="s">
        <v>1954</v>
      </c>
      <c r="B1519" t="s">
        <v>1753</v>
      </c>
      <c r="C1519" t="s">
        <v>283</v>
      </c>
      <c r="D1519" s="85">
        <v>-2562694.9900000002</v>
      </c>
      <c r="E1519" s="85">
        <v>0</v>
      </c>
      <c r="F1519" s="85">
        <v>0</v>
      </c>
      <c r="G1519" s="85">
        <v>-2562694.9900000002</v>
      </c>
    </row>
    <row r="1520" spans="1:7" x14ac:dyDescent="0.25">
      <c r="A1520" t="s">
        <v>1955</v>
      </c>
      <c r="B1520" t="s">
        <v>1956</v>
      </c>
      <c r="C1520" t="s">
        <v>271</v>
      </c>
      <c r="D1520" s="85">
        <v>-1625736.8</v>
      </c>
      <c r="E1520" s="85">
        <v>0</v>
      </c>
      <c r="F1520" s="85">
        <v>0</v>
      </c>
      <c r="G1520" s="85">
        <v>-1625736.8</v>
      </c>
    </row>
    <row r="1521" spans="1:7" x14ac:dyDescent="0.25">
      <c r="A1521" t="s">
        <v>1957</v>
      </c>
      <c r="B1521" t="s">
        <v>581</v>
      </c>
      <c r="C1521" t="s">
        <v>271</v>
      </c>
      <c r="D1521" s="85">
        <v>-1625736.8</v>
      </c>
      <c r="E1521" s="85">
        <v>0</v>
      </c>
      <c r="F1521" s="85">
        <v>0</v>
      </c>
      <c r="G1521" s="85">
        <v>-1625736.8</v>
      </c>
    </row>
    <row r="1522" spans="1:7" x14ac:dyDescent="0.25">
      <c r="A1522" t="s">
        <v>1958</v>
      </c>
      <c r="B1522" t="s">
        <v>1753</v>
      </c>
      <c r="C1522" t="s">
        <v>283</v>
      </c>
      <c r="D1522" s="85">
        <v>-1625736.8</v>
      </c>
      <c r="E1522" s="85">
        <v>0</v>
      </c>
      <c r="F1522" s="85">
        <v>0</v>
      </c>
      <c r="G1522" s="85">
        <v>-1625736.8</v>
      </c>
    </row>
    <row r="1523" spans="1:7" x14ac:dyDescent="0.25">
      <c r="A1523" t="s">
        <v>1959</v>
      </c>
      <c r="B1523" t="s">
        <v>1960</v>
      </c>
      <c r="C1523" t="s">
        <v>271</v>
      </c>
      <c r="D1523" s="85">
        <v>-20465.689999999999</v>
      </c>
      <c r="E1523" s="85">
        <v>0</v>
      </c>
      <c r="F1523" s="85">
        <v>0</v>
      </c>
      <c r="G1523" s="85">
        <v>-20465.689999999999</v>
      </c>
    </row>
    <row r="1524" spans="1:7" x14ac:dyDescent="0.25">
      <c r="A1524" t="s">
        <v>1961</v>
      </c>
      <c r="B1524" t="s">
        <v>581</v>
      </c>
      <c r="C1524" t="s">
        <v>271</v>
      </c>
      <c r="D1524" s="85">
        <v>-20465.689999999999</v>
      </c>
      <c r="E1524" s="85">
        <v>0</v>
      </c>
      <c r="F1524" s="85">
        <v>0</v>
      </c>
      <c r="G1524" s="85">
        <v>-20465.689999999999</v>
      </c>
    </row>
    <row r="1525" spans="1:7" x14ac:dyDescent="0.25">
      <c r="A1525" t="s">
        <v>1962</v>
      </c>
      <c r="B1525" t="s">
        <v>1753</v>
      </c>
      <c r="C1525" t="s">
        <v>283</v>
      </c>
      <c r="D1525" s="85">
        <v>-20465.689999999999</v>
      </c>
      <c r="E1525" s="85">
        <v>0</v>
      </c>
      <c r="F1525" s="85">
        <v>0</v>
      </c>
      <c r="G1525" s="85">
        <v>-20465.689999999999</v>
      </c>
    </row>
    <row r="1526" spans="1:7" x14ac:dyDescent="0.25">
      <c r="A1526" t="s">
        <v>1963</v>
      </c>
      <c r="B1526" t="s">
        <v>1964</v>
      </c>
      <c r="C1526" t="s">
        <v>271</v>
      </c>
      <c r="D1526" s="85">
        <v>230276.28</v>
      </c>
      <c r="E1526" s="85">
        <v>0</v>
      </c>
      <c r="F1526" s="85">
        <v>0</v>
      </c>
      <c r="G1526" s="85">
        <v>230276.28</v>
      </c>
    </row>
    <row r="1527" spans="1:7" x14ac:dyDescent="0.25">
      <c r="A1527" t="s">
        <v>1965</v>
      </c>
      <c r="B1527" t="s">
        <v>581</v>
      </c>
      <c r="C1527" t="s">
        <v>271</v>
      </c>
      <c r="D1527" s="85">
        <v>230276.28</v>
      </c>
      <c r="E1527" s="85">
        <v>0</v>
      </c>
      <c r="F1527" s="85">
        <v>0</v>
      </c>
      <c r="G1527" s="85">
        <v>230276.28</v>
      </c>
    </row>
    <row r="1528" spans="1:7" x14ac:dyDescent="0.25">
      <c r="A1528" t="s">
        <v>2989</v>
      </c>
      <c r="B1528" t="s">
        <v>2990</v>
      </c>
      <c r="C1528" t="s">
        <v>283</v>
      </c>
      <c r="D1528" s="85">
        <v>230276.28</v>
      </c>
      <c r="E1528" s="85">
        <v>0</v>
      </c>
      <c r="F1528" s="85">
        <v>0</v>
      </c>
      <c r="G1528" s="85">
        <v>230276.28</v>
      </c>
    </row>
    <row r="1529" spans="1:7" x14ac:dyDescent="0.25">
      <c r="A1529" t="s">
        <v>1966</v>
      </c>
      <c r="B1529" t="s">
        <v>1967</v>
      </c>
      <c r="C1529" t="s">
        <v>271</v>
      </c>
      <c r="D1529" s="85">
        <v>-12368.12</v>
      </c>
      <c r="E1529" s="85">
        <v>0</v>
      </c>
      <c r="F1529" s="85">
        <v>0</v>
      </c>
      <c r="G1529" s="85">
        <v>-12368.12</v>
      </c>
    </row>
    <row r="1530" spans="1:7" x14ac:dyDescent="0.25">
      <c r="A1530" t="s">
        <v>1968</v>
      </c>
      <c r="B1530" t="s">
        <v>581</v>
      </c>
      <c r="C1530" t="s">
        <v>271</v>
      </c>
      <c r="D1530" s="85">
        <v>-12368.12</v>
      </c>
      <c r="E1530" s="85">
        <v>0</v>
      </c>
      <c r="F1530" s="85">
        <v>0</v>
      </c>
      <c r="G1530" s="85">
        <v>-12368.12</v>
      </c>
    </row>
    <row r="1531" spans="1:7" x14ac:dyDescent="0.25">
      <c r="A1531" t="s">
        <v>1969</v>
      </c>
      <c r="B1531" t="s">
        <v>1753</v>
      </c>
      <c r="C1531" t="s">
        <v>283</v>
      </c>
      <c r="D1531" s="85">
        <v>-12368.12</v>
      </c>
      <c r="E1531" s="85">
        <v>0</v>
      </c>
      <c r="F1531" s="85">
        <v>0</v>
      </c>
      <c r="G1531" s="85">
        <v>-12368.12</v>
      </c>
    </row>
    <row r="1532" spans="1:7" x14ac:dyDescent="0.25">
      <c r="A1532" t="s">
        <v>1970</v>
      </c>
      <c r="B1532" t="s">
        <v>1971</v>
      </c>
      <c r="C1532" t="s">
        <v>271</v>
      </c>
      <c r="D1532" s="85">
        <v>-144146.56</v>
      </c>
      <c r="E1532" s="85">
        <v>0</v>
      </c>
      <c r="F1532" s="85">
        <v>0</v>
      </c>
      <c r="G1532" s="85">
        <v>-144146.56</v>
      </c>
    </row>
    <row r="1533" spans="1:7" x14ac:dyDescent="0.25">
      <c r="A1533" t="s">
        <v>1972</v>
      </c>
      <c r="B1533" t="s">
        <v>581</v>
      </c>
      <c r="C1533" t="s">
        <v>271</v>
      </c>
      <c r="D1533" s="85">
        <v>-144146.56</v>
      </c>
      <c r="E1533" s="85">
        <v>0</v>
      </c>
      <c r="F1533" s="85">
        <v>0</v>
      </c>
      <c r="G1533" s="85">
        <v>-144146.56</v>
      </c>
    </row>
    <row r="1534" spans="1:7" x14ac:dyDescent="0.25">
      <c r="A1534" t="s">
        <v>1973</v>
      </c>
      <c r="B1534" t="s">
        <v>1974</v>
      </c>
      <c r="C1534" t="s">
        <v>283</v>
      </c>
      <c r="D1534" s="85">
        <v>-144146.56</v>
      </c>
      <c r="E1534" s="85">
        <v>0</v>
      </c>
      <c r="F1534" s="85">
        <v>0</v>
      </c>
      <c r="G1534" s="85">
        <v>-144146.56</v>
      </c>
    </row>
    <row r="1535" spans="1:7" x14ac:dyDescent="0.25">
      <c r="A1535" t="s">
        <v>2991</v>
      </c>
      <c r="B1535" t="s">
        <v>2992</v>
      </c>
      <c r="C1535" t="s">
        <v>271</v>
      </c>
      <c r="D1535" s="85">
        <v>-308399.02</v>
      </c>
      <c r="E1535" s="85">
        <v>0</v>
      </c>
      <c r="F1535" s="85">
        <v>0</v>
      </c>
      <c r="G1535" s="85">
        <v>-308399.02</v>
      </c>
    </row>
    <row r="1536" spans="1:7" x14ac:dyDescent="0.25">
      <c r="A1536" t="s">
        <v>2993</v>
      </c>
      <c r="B1536" t="s">
        <v>581</v>
      </c>
      <c r="C1536" t="s">
        <v>271</v>
      </c>
      <c r="D1536" s="85">
        <v>-308399.02</v>
      </c>
      <c r="E1536" s="85">
        <v>0</v>
      </c>
      <c r="F1536" s="85">
        <v>0</v>
      </c>
      <c r="G1536" s="85">
        <v>-308399.02</v>
      </c>
    </row>
    <row r="1537" spans="1:7" x14ac:dyDescent="0.25">
      <c r="A1537" t="s">
        <v>2994</v>
      </c>
      <c r="B1537" t="s">
        <v>1731</v>
      </c>
      <c r="C1537" t="s">
        <v>283</v>
      </c>
      <c r="D1537" s="85">
        <v>-308399.02</v>
      </c>
      <c r="E1537" s="85">
        <v>0</v>
      </c>
      <c r="F1537" s="85">
        <v>0</v>
      </c>
      <c r="G1537" s="85">
        <v>-308399.02</v>
      </c>
    </row>
    <row r="1538" spans="1:7" x14ac:dyDescent="0.25">
      <c r="A1538" t="s">
        <v>1975</v>
      </c>
      <c r="B1538" t="s">
        <v>1976</v>
      </c>
      <c r="C1538" t="s">
        <v>271</v>
      </c>
      <c r="D1538" s="85">
        <v>-150261.54</v>
      </c>
      <c r="E1538" s="85">
        <v>0</v>
      </c>
      <c r="F1538" s="85">
        <v>0</v>
      </c>
      <c r="G1538" s="85">
        <v>-150261.54</v>
      </c>
    </row>
    <row r="1539" spans="1:7" x14ac:dyDescent="0.25">
      <c r="A1539" t="s">
        <v>1977</v>
      </c>
      <c r="B1539" t="s">
        <v>581</v>
      </c>
      <c r="C1539" t="s">
        <v>271</v>
      </c>
      <c r="D1539" s="85">
        <v>-150261.54</v>
      </c>
      <c r="E1539" s="85">
        <v>0</v>
      </c>
      <c r="F1539" s="85">
        <v>0</v>
      </c>
      <c r="G1539" s="85">
        <v>-150261.54</v>
      </c>
    </row>
    <row r="1540" spans="1:7" x14ac:dyDescent="0.25">
      <c r="A1540" t="s">
        <v>1978</v>
      </c>
      <c r="B1540" t="s">
        <v>1753</v>
      </c>
      <c r="C1540" t="s">
        <v>283</v>
      </c>
      <c r="D1540" s="85">
        <v>-150261.54</v>
      </c>
      <c r="E1540" s="85">
        <v>0</v>
      </c>
      <c r="F1540" s="85">
        <v>0</v>
      </c>
      <c r="G1540" s="85">
        <v>-150261.54</v>
      </c>
    </row>
    <row r="1541" spans="1:7" x14ac:dyDescent="0.25">
      <c r="A1541" t="s">
        <v>1979</v>
      </c>
      <c r="B1541" t="s">
        <v>1529</v>
      </c>
      <c r="C1541" t="s">
        <v>271</v>
      </c>
      <c r="D1541" s="85">
        <v>28526986.09</v>
      </c>
      <c r="E1541" s="85">
        <v>10442195.109999999</v>
      </c>
      <c r="F1541" s="85">
        <v>3468001.79</v>
      </c>
      <c r="G1541" s="85">
        <v>35501179.409999996</v>
      </c>
    </row>
    <row r="1542" spans="1:7" x14ac:dyDescent="0.25">
      <c r="A1542" t="s">
        <v>1980</v>
      </c>
      <c r="B1542" t="s">
        <v>1981</v>
      </c>
      <c r="C1542" t="s">
        <v>271</v>
      </c>
      <c r="D1542" s="85">
        <v>28525005.649999999</v>
      </c>
      <c r="E1542" s="85">
        <v>10442195.109999999</v>
      </c>
      <c r="F1542" s="85">
        <v>3468001.79</v>
      </c>
      <c r="G1542" s="85">
        <v>35499198.969999999</v>
      </c>
    </row>
    <row r="1543" spans="1:7" x14ac:dyDescent="0.25">
      <c r="A1543" t="s">
        <v>1982</v>
      </c>
      <c r="B1543" t="s">
        <v>1983</v>
      </c>
      <c r="C1543" t="s">
        <v>271</v>
      </c>
      <c r="D1543" s="85">
        <v>31210485.260000002</v>
      </c>
      <c r="E1543" s="85">
        <v>10442195.109999999</v>
      </c>
      <c r="F1543" s="85">
        <v>2972201.49</v>
      </c>
      <c r="G1543" s="85">
        <v>38680478.880000003</v>
      </c>
    </row>
    <row r="1544" spans="1:7" x14ac:dyDescent="0.25">
      <c r="A1544" t="s">
        <v>1984</v>
      </c>
      <c r="B1544" t="s">
        <v>1529</v>
      </c>
      <c r="C1544" t="s">
        <v>271</v>
      </c>
      <c r="D1544" s="85">
        <v>31210485.260000002</v>
      </c>
      <c r="E1544" s="85">
        <v>10442195.109999999</v>
      </c>
      <c r="F1544" s="85">
        <v>2972201.49</v>
      </c>
      <c r="G1544" s="85">
        <v>38680478.880000003</v>
      </c>
    </row>
    <row r="1545" spans="1:7" x14ac:dyDescent="0.25">
      <c r="A1545" t="s">
        <v>1985</v>
      </c>
      <c r="B1545" t="s">
        <v>1986</v>
      </c>
      <c r="C1545" t="s">
        <v>283</v>
      </c>
      <c r="D1545" s="85">
        <v>2759969.65</v>
      </c>
      <c r="E1545" s="85">
        <v>4308471.28</v>
      </c>
      <c r="F1545" s="85">
        <v>0</v>
      </c>
      <c r="G1545" s="85">
        <v>7068440.9299999997</v>
      </c>
    </row>
    <row r="1546" spans="1:7" x14ac:dyDescent="0.25">
      <c r="A1546" t="s">
        <v>2381</v>
      </c>
      <c r="B1546" t="s">
        <v>2382</v>
      </c>
      <c r="C1546" t="s">
        <v>283</v>
      </c>
      <c r="D1546" s="85">
        <v>6080121.6200000001</v>
      </c>
      <c r="E1546" s="85">
        <v>3777067.46</v>
      </c>
      <c r="F1546" s="85">
        <v>2972201.49</v>
      </c>
      <c r="G1546" s="85">
        <v>6884987.5899999999</v>
      </c>
    </row>
    <row r="1547" spans="1:7" x14ac:dyDescent="0.25">
      <c r="A1547" t="s">
        <v>1987</v>
      </c>
      <c r="B1547" t="s">
        <v>1988</v>
      </c>
      <c r="C1547" t="s">
        <v>283</v>
      </c>
      <c r="D1547" s="85">
        <v>1610487.9</v>
      </c>
      <c r="E1547" s="85">
        <v>185256</v>
      </c>
      <c r="F1547" s="85">
        <v>0</v>
      </c>
      <c r="G1547" s="85">
        <v>1795743.9</v>
      </c>
    </row>
    <row r="1548" spans="1:7" x14ac:dyDescent="0.25">
      <c r="A1548" t="s">
        <v>1989</v>
      </c>
      <c r="B1548" t="s">
        <v>1990</v>
      </c>
      <c r="C1548" t="s">
        <v>283</v>
      </c>
      <c r="D1548" s="85">
        <v>20644974.399999999</v>
      </c>
      <c r="E1548" s="85">
        <v>2171400.37</v>
      </c>
      <c r="F1548" s="85">
        <v>0</v>
      </c>
      <c r="G1548" s="85">
        <v>22816374.77</v>
      </c>
    </row>
    <row r="1549" spans="1:7" x14ac:dyDescent="0.25">
      <c r="A1549" t="s">
        <v>2343</v>
      </c>
      <c r="B1549" t="s">
        <v>2344</v>
      </c>
      <c r="C1549" t="s">
        <v>283</v>
      </c>
      <c r="D1549" s="85">
        <v>39397.339999999997</v>
      </c>
      <c r="E1549" s="85">
        <v>0</v>
      </c>
      <c r="F1549" s="85">
        <v>0</v>
      </c>
      <c r="G1549" s="85">
        <v>39397.339999999997</v>
      </c>
    </row>
    <row r="1550" spans="1:7" x14ac:dyDescent="0.25">
      <c r="A1550" t="s">
        <v>2995</v>
      </c>
      <c r="B1550" t="s">
        <v>2996</v>
      </c>
      <c r="C1550" t="s">
        <v>283</v>
      </c>
      <c r="D1550" s="85">
        <v>75566.87</v>
      </c>
      <c r="E1550" s="85">
        <v>0</v>
      </c>
      <c r="F1550" s="85">
        <v>0</v>
      </c>
      <c r="G1550" s="85">
        <v>75566.87</v>
      </c>
    </row>
    <row r="1551" spans="1:7" x14ac:dyDescent="0.25">
      <c r="A1551" t="s">
        <v>2997</v>
      </c>
      <c r="B1551" t="s">
        <v>2998</v>
      </c>
      <c r="C1551" t="s">
        <v>283</v>
      </c>
      <c r="D1551" s="85">
        <v>-32.520000000000003</v>
      </c>
      <c r="E1551" s="85">
        <v>0</v>
      </c>
      <c r="F1551" s="85">
        <v>0</v>
      </c>
      <c r="G1551" s="85">
        <v>-32.520000000000003</v>
      </c>
    </row>
    <row r="1552" spans="1:7" x14ac:dyDescent="0.25">
      <c r="A1552" t="s">
        <v>2999</v>
      </c>
      <c r="B1552" t="s">
        <v>2921</v>
      </c>
      <c r="C1552" t="s">
        <v>271</v>
      </c>
      <c r="D1552" s="85">
        <v>-2685479.61</v>
      </c>
      <c r="E1552" s="85">
        <v>0</v>
      </c>
      <c r="F1552" s="85">
        <v>495800.3</v>
      </c>
      <c r="G1552" s="85">
        <v>-3181279.91</v>
      </c>
    </row>
    <row r="1553" spans="1:7" x14ac:dyDescent="0.25">
      <c r="A1553" t="s">
        <v>3000</v>
      </c>
      <c r="B1553" t="s">
        <v>2284</v>
      </c>
      <c r="C1553" t="s">
        <v>283</v>
      </c>
      <c r="D1553" s="85">
        <v>-2685479.61</v>
      </c>
      <c r="E1553" s="85">
        <v>0</v>
      </c>
      <c r="F1553" s="85">
        <v>495800.3</v>
      </c>
      <c r="G1553" s="85">
        <v>-3181279.91</v>
      </c>
    </row>
    <row r="1554" spans="1:7" x14ac:dyDescent="0.25">
      <c r="A1554" t="s">
        <v>2539</v>
      </c>
      <c r="B1554" t="s">
        <v>1559</v>
      </c>
      <c r="C1554" t="s">
        <v>271</v>
      </c>
      <c r="D1554" s="85">
        <v>1980.44</v>
      </c>
      <c r="E1554" s="85">
        <v>0</v>
      </c>
      <c r="F1554" s="85">
        <v>0</v>
      </c>
      <c r="G1554" s="85">
        <v>1980.44</v>
      </c>
    </row>
    <row r="1555" spans="1:7" x14ac:dyDescent="0.25">
      <c r="A1555" t="s">
        <v>2540</v>
      </c>
      <c r="B1555" t="s">
        <v>1559</v>
      </c>
      <c r="C1555" t="s">
        <v>271</v>
      </c>
      <c r="D1555" s="85">
        <v>2159.4</v>
      </c>
      <c r="E1555" s="85">
        <v>0</v>
      </c>
      <c r="F1555" s="85">
        <v>0</v>
      </c>
      <c r="G1555" s="85">
        <v>2159.4</v>
      </c>
    </row>
    <row r="1556" spans="1:7" x14ac:dyDescent="0.25">
      <c r="A1556" t="s">
        <v>2541</v>
      </c>
      <c r="B1556" t="s">
        <v>1991</v>
      </c>
      <c r="C1556" t="s">
        <v>283</v>
      </c>
      <c r="D1556" s="85">
        <v>2159.4</v>
      </c>
      <c r="E1556" s="85">
        <v>0</v>
      </c>
      <c r="F1556" s="85">
        <v>0</v>
      </c>
      <c r="G1556" s="85">
        <v>2159.4</v>
      </c>
    </row>
    <row r="1557" spans="1:7" x14ac:dyDescent="0.25">
      <c r="A1557" t="s">
        <v>3001</v>
      </c>
      <c r="B1557" t="s">
        <v>2921</v>
      </c>
      <c r="C1557" t="s">
        <v>271</v>
      </c>
      <c r="D1557" s="85">
        <v>-178.96</v>
      </c>
      <c r="E1557" s="85">
        <v>0</v>
      </c>
      <c r="F1557" s="85">
        <v>0</v>
      </c>
      <c r="G1557" s="85">
        <v>-178.96</v>
      </c>
    </row>
    <row r="1558" spans="1:7" x14ac:dyDescent="0.25">
      <c r="A1558" t="s">
        <v>3002</v>
      </c>
      <c r="B1558" t="s">
        <v>2284</v>
      </c>
      <c r="C1558" t="s">
        <v>283</v>
      </c>
      <c r="D1558" s="85">
        <v>-178.96</v>
      </c>
      <c r="E1558" s="85">
        <v>0</v>
      </c>
      <c r="F1558" s="85">
        <v>0</v>
      </c>
      <c r="G1558" s="85">
        <v>-178.96</v>
      </c>
    </row>
    <row r="1559" spans="1:7" x14ac:dyDescent="0.25">
      <c r="A1559" t="s">
        <v>1992</v>
      </c>
      <c r="B1559" t="s">
        <v>1993</v>
      </c>
      <c r="C1559" t="s">
        <v>271</v>
      </c>
      <c r="D1559" s="85">
        <v>-3989613.02</v>
      </c>
      <c r="E1559" s="85">
        <v>31069.49</v>
      </c>
      <c r="F1559" s="85">
        <v>300474.28999999998</v>
      </c>
      <c r="G1559" s="85">
        <v>-4259017.82</v>
      </c>
    </row>
    <row r="1560" spans="1:7" x14ac:dyDescent="0.25">
      <c r="A1560" t="s">
        <v>1994</v>
      </c>
      <c r="B1560" t="s">
        <v>1995</v>
      </c>
      <c r="C1560" t="s">
        <v>271</v>
      </c>
      <c r="D1560" s="85">
        <v>-3989613.02</v>
      </c>
      <c r="E1560" s="85">
        <v>31069.49</v>
      </c>
      <c r="F1560" s="85">
        <v>300474.28999999998</v>
      </c>
      <c r="G1560" s="85">
        <v>-4259017.82</v>
      </c>
    </row>
    <row r="1561" spans="1:7" x14ac:dyDescent="0.25">
      <c r="A1561" t="s">
        <v>2345</v>
      </c>
      <c r="B1561" t="s">
        <v>2346</v>
      </c>
      <c r="C1561" t="s">
        <v>271</v>
      </c>
      <c r="D1561" s="85">
        <v>-4135045.73</v>
      </c>
      <c r="E1561" s="85">
        <v>0</v>
      </c>
      <c r="F1561" s="85">
        <v>220786.66</v>
      </c>
      <c r="G1561" s="85">
        <v>-4355832.3899999997</v>
      </c>
    </row>
    <row r="1562" spans="1:7" x14ac:dyDescent="0.25">
      <c r="A1562" t="s">
        <v>2347</v>
      </c>
      <c r="B1562" t="s">
        <v>2348</v>
      </c>
      <c r="C1562" t="s">
        <v>271</v>
      </c>
      <c r="D1562" s="85">
        <v>-4135045.73</v>
      </c>
      <c r="E1562" s="85">
        <v>0</v>
      </c>
      <c r="F1562" s="85">
        <v>220786.66</v>
      </c>
      <c r="G1562" s="85">
        <v>-4355832.3899999997</v>
      </c>
    </row>
    <row r="1563" spans="1:7" s="365" customFormat="1" x14ac:dyDescent="0.25">
      <c r="A1563" s="365" t="s">
        <v>2349</v>
      </c>
      <c r="B1563" s="365" t="s">
        <v>2350</v>
      </c>
      <c r="C1563" s="365" t="s">
        <v>283</v>
      </c>
      <c r="D1563" s="373">
        <v>-4135045.73</v>
      </c>
      <c r="E1563" s="373">
        <v>0</v>
      </c>
      <c r="F1563" s="373">
        <v>220786.66</v>
      </c>
      <c r="G1563" s="373">
        <v>-4355832.3899999997</v>
      </c>
    </row>
    <row r="1564" spans="1:7" x14ac:dyDescent="0.25">
      <c r="A1564" t="s">
        <v>1996</v>
      </c>
      <c r="B1564" t="s">
        <v>1997</v>
      </c>
      <c r="C1564" t="s">
        <v>271</v>
      </c>
      <c r="D1564" s="85">
        <v>-267858.93</v>
      </c>
      <c r="E1564" s="85">
        <v>2800</v>
      </c>
      <c r="F1564" s="85">
        <v>79687.63</v>
      </c>
      <c r="G1564" s="85">
        <v>-344746.56</v>
      </c>
    </row>
    <row r="1565" spans="1:7" s="365" customFormat="1" x14ac:dyDescent="0.25">
      <c r="A1565" s="365" t="s">
        <v>1998</v>
      </c>
      <c r="B1565" s="365" t="s">
        <v>1695</v>
      </c>
      <c r="C1565" s="365" t="s">
        <v>271</v>
      </c>
      <c r="D1565" s="373">
        <v>-80949.38</v>
      </c>
      <c r="E1565" s="373">
        <v>0</v>
      </c>
      <c r="F1565" s="373">
        <v>35.380000000000003</v>
      </c>
      <c r="G1565" s="373">
        <v>-80984.759999999995</v>
      </c>
    </row>
    <row r="1566" spans="1:7" x14ac:dyDescent="0.25">
      <c r="A1566" t="s">
        <v>3003</v>
      </c>
      <c r="B1566" t="s">
        <v>3004</v>
      </c>
      <c r="C1566" t="s">
        <v>283</v>
      </c>
      <c r="D1566" s="85">
        <v>-80563.56</v>
      </c>
      <c r="E1566" s="85">
        <v>0</v>
      </c>
      <c r="F1566" s="85">
        <v>0</v>
      </c>
      <c r="G1566" s="85">
        <v>-80563.56</v>
      </c>
    </row>
    <row r="1567" spans="1:7" x14ac:dyDescent="0.25">
      <c r="A1567" t="s">
        <v>1999</v>
      </c>
      <c r="B1567" t="s">
        <v>511</v>
      </c>
      <c r="C1567" t="s">
        <v>283</v>
      </c>
      <c r="D1567" s="85">
        <v>-385.82</v>
      </c>
      <c r="E1567" s="85">
        <v>0</v>
      </c>
      <c r="F1567" s="85">
        <v>35.380000000000003</v>
      </c>
      <c r="G1567" s="85">
        <v>-421.2</v>
      </c>
    </row>
    <row r="1568" spans="1:7" x14ac:dyDescent="0.25">
      <c r="A1568" t="s">
        <v>2351</v>
      </c>
      <c r="B1568" t="s">
        <v>2352</v>
      </c>
      <c r="C1568" t="s">
        <v>271</v>
      </c>
      <c r="D1568" s="85">
        <v>-51372.160000000003</v>
      </c>
      <c r="E1568" s="85">
        <v>0</v>
      </c>
      <c r="F1568" s="85">
        <v>0</v>
      </c>
      <c r="G1568" s="85">
        <v>-51372.160000000003</v>
      </c>
    </row>
    <row r="1569" spans="1:7" s="365" customFormat="1" x14ac:dyDescent="0.25">
      <c r="A1569" s="365" t="s">
        <v>2353</v>
      </c>
      <c r="B1569" s="365" t="s">
        <v>2354</v>
      </c>
      <c r="C1569" s="365" t="s">
        <v>283</v>
      </c>
      <c r="D1569" s="373">
        <v>-51372.160000000003</v>
      </c>
      <c r="E1569" s="373">
        <v>0</v>
      </c>
      <c r="F1569" s="373">
        <v>0</v>
      </c>
      <c r="G1569" s="373">
        <v>-51372.160000000003</v>
      </c>
    </row>
    <row r="1570" spans="1:7" x14ac:dyDescent="0.25">
      <c r="A1570" t="s">
        <v>3005</v>
      </c>
      <c r="B1570" t="s">
        <v>3006</v>
      </c>
      <c r="C1570" t="s">
        <v>271</v>
      </c>
      <c r="D1570" s="85">
        <v>2459.4</v>
      </c>
      <c r="E1570" s="85">
        <v>0</v>
      </c>
      <c r="F1570" s="85">
        <v>2800</v>
      </c>
      <c r="G1570" s="85">
        <v>-340.6</v>
      </c>
    </row>
    <row r="1571" spans="1:7" x14ac:dyDescent="0.25">
      <c r="A1571" t="s">
        <v>3007</v>
      </c>
      <c r="B1571" t="s">
        <v>302</v>
      </c>
      <c r="C1571" t="s">
        <v>271</v>
      </c>
      <c r="D1571" s="85">
        <v>2459.4</v>
      </c>
      <c r="E1571" s="85">
        <v>0</v>
      </c>
      <c r="F1571" s="85">
        <v>2800</v>
      </c>
      <c r="G1571" s="85">
        <v>-340.6</v>
      </c>
    </row>
    <row r="1572" spans="1:7" x14ac:dyDescent="0.25">
      <c r="A1572" t="s">
        <v>3008</v>
      </c>
      <c r="B1572" t="s">
        <v>3009</v>
      </c>
      <c r="C1572" t="s">
        <v>283</v>
      </c>
      <c r="D1572" s="85">
        <v>2459.4</v>
      </c>
      <c r="E1572" s="85">
        <v>0</v>
      </c>
      <c r="F1572" s="85">
        <v>2800</v>
      </c>
      <c r="G1572" s="85">
        <v>-340.6</v>
      </c>
    </row>
    <row r="1573" spans="1:7" x14ac:dyDescent="0.25">
      <c r="A1573" t="s">
        <v>2000</v>
      </c>
      <c r="B1573" t="s">
        <v>331</v>
      </c>
      <c r="C1573" t="s">
        <v>271</v>
      </c>
      <c r="D1573" s="85">
        <v>-137996.79</v>
      </c>
      <c r="E1573" s="85">
        <v>2800</v>
      </c>
      <c r="F1573" s="85">
        <v>76852.25</v>
      </c>
      <c r="G1573" s="85">
        <v>-212049.04</v>
      </c>
    </row>
    <row r="1574" spans="1:7" x14ac:dyDescent="0.25">
      <c r="A1574" t="s">
        <v>2001</v>
      </c>
      <c r="B1574" t="s">
        <v>2002</v>
      </c>
      <c r="C1574" t="s">
        <v>271</v>
      </c>
      <c r="D1574" s="85">
        <v>-119617.99</v>
      </c>
      <c r="E1574" s="85">
        <v>0</v>
      </c>
      <c r="F1574" s="85">
        <v>23802.21</v>
      </c>
      <c r="G1574" s="85">
        <v>-143420.20000000001</v>
      </c>
    </row>
    <row r="1575" spans="1:7" x14ac:dyDescent="0.25">
      <c r="A1575" t="s">
        <v>2003</v>
      </c>
      <c r="B1575" t="s">
        <v>2004</v>
      </c>
      <c r="C1575" t="s">
        <v>283</v>
      </c>
      <c r="D1575" s="85">
        <v>-1838.06</v>
      </c>
      <c r="E1575" s="85">
        <v>0</v>
      </c>
      <c r="F1575" s="85">
        <v>9064</v>
      </c>
      <c r="G1575" s="85">
        <v>-10902.06</v>
      </c>
    </row>
    <row r="1576" spans="1:7" x14ac:dyDescent="0.25">
      <c r="A1576" t="s">
        <v>2005</v>
      </c>
      <c r="B1576" t="s">
        <v>2006</v>
      </c>
      <c r="C1576" t="s">
        <v>283</v>
      </c>
      <c r="D1576" s="85">
        <v>-0.55000000000000004</v>
      </c>
      <c r="E1576" s="85">
        <v>0</v>
      </c>
      <c r="F1576" s="85">
        <v>27.22</v>
      </c>
      <c r="G1576" s="85">
        <v>-27.77</v>
      </c>
    </row>
    <row r="1577" spans="1:7" s="365" customFormat="1" x14ac:dyDescent="0.25">
      <c r="A1577" s="365" t="s">
        <v>2007</v>
      </c>
      <c r="B1577" s="365" t="s">
        <v>2008</v>
      </c>
      <c r="C1577" s="365" t="s">
        <v>283</v>
      </c>
      <c r="D1577" s="373">
        <v>-115539.5</v>
      </c>
      <c r="E1577" s="373">
        <v>0</v>
      </c>
      <c r="F1577" s="373">
        <v>14692.24</v>
      </c>
      <c r="G1577" s="373">
        <v>-130231.74</v>
      </c>
    </row>
    <row r="1578" spans="1:7" x14ac:dyDescent="0.25">
      <c r="A1578" t="s">
        <v>2009</v>
      </c>
      <c r="B1578" t="s">
        <v>1991</v>
      </c>
      <c r="C1578" t="s">
        <v>283</v>
      </c>
      <c r="D1578" s="85">
        <v>-2239.88</v>
      </c>
      <c r="E1578" s="85">
        <v>0</v>
      </c>
      <c r="F1578" s="85">
        <v>18.75</v>
      </c>
      <c r="G1578" s="85">
        <v>-2258.63</v>
      </c>
    </row>
    <row r="1579" spans="1:7" x14ac:dyDescent="0.25">
      <c r="A1579" t="s">
        <v>3010</v>
      </c>
      <c r="B1579" t="s">
        <v>3011</v>
      </c>
      <c r="C1579" t="s">
        <v>271</v>
      </c>
      <c r="D1579" s="85">
        <v>-18378.8</v>
      </c>
      <c r="E1579" s="85">
        <v>2800</v>
      </c>
      <c r="F1579" s="85">
        <v>53050.04</v>
      </c>
      <c r="G1579" s="85">
        <v>-68628.84</v>
      </c>
    </row>
    <row r="1580" spans="1:7" s="365" customFormat="1" x14ac:dyDescent="0.25">
      <c r="A1580" s="365" t="s">
        <v>3012</v>
      </c>
      <c r="B1580" s="365" t="s">
        <v>3013</v>
      </c>
      <c r="C1580" s="365" t="s">
        <v>283</v>
      </c>
      <c r="D1580" s="373">
        <v>-15298.8</v>
      </c>
      <c r="E1580" s="373">
        <v>0</v>
      </c>
      <c r="F1580" s="373">
        <v>53050.04</v>
      </c>
      <c r="G1580" s="373">
        <v>-68348.84</v>
      </c>
    </row>
    <row r="1581" spans="1:7" x14ac:dyDescent="0.25">
      <c r="A1581" t="s">
        <v>3014</v>
      </c>
      <c r="B1581" t="s">
        <v>3015</v>
      </c>
      <c r="C1581" t="s">
        <v>283</v>
      </c>
      <c r="D1581" s="85">
        <v>-3080</v>
      </c>
      <c r="E1581" s="85">
        <v>2800</v>
      </c>
      <c r="F1581" s="85">
        <v>0</v>
      </c>
      <c r="G1581" s="85">
        <v>-280</v>
      </c>
    </row>
    <row r="1582" spans="1:7" s="365" customFormat="1" x14ac:dyDescent="0.25">
      <c r="A1582" s="365" t="s">
        <v>2010</v>
      </c>
      <c r="B1582" s="365" t="s">
        <v>1490</v>
      </c>
      <c r="C1582" s="365" t="s">
        <v>271</v>
      </c>
      <c r="D1582" s="373">
        <v>413291.64</v>
      </c>
      <c r="E1582" s="373">
        <v>28269.49</v>
      </c>
      <c r="F1582" s="373">
        <v>0</v>
      </c>
      <c r="G1582" s="373">
        <v>441561.13</v>
      </c>
    </row>
    <row r="1583" spans="1:7" x14ac:dyDescent="0.25">
      <c r="A1583" t="s">
        <v>2011</v>
      </c>
      <c r="B1583" t="s">
        <v>445</v>
      </c>
      <c r="C1583" t="s">
        <v>271</v>
      </c>
      <c r="D1583" s="85">
        <v>72691.8</v>
      </c>
      <c r="E1583" s="85">
        <v>4911.63</v>
      </c>
      <c r="F1583" s="85">
        <v>0</v>
      </c>
      <c r="G1583" s="85">
        <v>77603.429999999993</v>
      </c>
    </row>
    <row r="1584" spans="1:7" x14ac:dyDescent="0.25">
      <c r="A1584" t="s">
        <v>2012</v>
      </c>
      <c r="B1584" t="s">
        <v>1056</v>
      </c>
      <c r="C1584" t="s">
        <v>283</v>
      </c>
      <c r="D1584" s="85">
        <v>72691.8</v>
      </c>
      <c r="E1584" s="85">
        <v>4911.63</v>
      </c>
      <c r="F1584" s="85">
        <v>0</v>
      </c>
      <c r="G1584" s="85">
        <v>77603.429999999993</v>
      </c>
    </row>
    <row r="1585" spans="1:7" x14ac:dyDescent="0.25">
      <c r="A1585" t="s">
        <v>2013</v>
      </c>
      <c r="B1585" t="s">
        <v>216</v>
      </c>
      <c r="C1585" t="s">
        <v>271</v>
      </c>
      <c r="D1585" s="85">
        <v>334822.87</v>
      </c>
      <c r="E1585" s="85">
        <v>22623.25</v>
      </c>
      <c r="F1585" s="85">
        <v>0</v>
      </c>
      <c r="G1585" s="85">
        <v>357446.12</v>
      </c>
    </row>
    <row r="1586" spans="1:7" x14ac:dyDescent="0.25">
      <c r="A1586" t="s">
        <v>2014</v>
      </c>
      <c r="B1586" t="s">
        <v>1061</v>
      </c>
      <c r="C1586" t="s">
        <v>283</v>
      </c>
      <c r="D1586" s="85">
        <v>334822.87</v>
      </c>
      <c r="E1586" s="85">
        <v>22623.25</v>
      </c>
      <c r="F1586" s="85">
        <v>0</v>
      </c>
      <c r="G1586" s="85">
        <v>357446.12</v>
      </c>
    </row>
    <row r="1587" spans="1:7" x14ac:dyDescent="0.25">
      <c r="A1587" t="s">
        <v>2015</v>
      </c>
      <c r="B1587" t="s">
        <v>1074</v>
      </c>
      <c r="C1587" t="s">
        <v>271</v>
      </c>
      <c r="D1587" s="85">
        <v>5776.97</v>
      </c>
      <c r="E1587" s="85">
        <v>734.61</v>
      </c>
      <c r="F1587" s="85">
        <v>0</v>
      </c>
      <c r="G1587" s="85">
        <v>6511.58</v>
      </c>
    </row>
    <row r="1588" spans="1:7" x14ac:dyDescent="0.25">
      <c r="A1588" t="s">
        <v>2016</v>
      </c>
      <c r="B1588" t="s">
        <v>2017</v>
      </c>
      <c r="C1588" t="s">
        <v>283</v>
      </c>
      <c r="D1588" s="85">
        <v>5776.97</v>
      </c>
      <c r="E1588" s="85">
        <v>734.61</v>
      </c>
      <c r="F1588" s="85">
        <v>0</v>
      </c>
      <c r="G1588" s="85">
        <v>6511.58</v>
      </c>
    </row>
    <row r="1589" spans="1:7" x14ac:dyDescent="0.25">
      <c r="A1589" t="s">
        <v>2018</v>
      </c>
      <c r="B1589" t="s">
        <v>2019</v>
      </c>
      <c r="C1589" t="s">
        <v>271</v>
      </c>
      <c r="D1589" s="85">
        <v>289005.90999999997</v>
      </c>
      <c r="E1589" s="85">
        <v>41774.410000000003</v>
      </c>
      <c r="F1589" s="85">
        <v>0</v>
      </c>
      <c r="G1589" s="85">
        <v>330780.32</v>
      </c>
    </row>
    <row r="1590" spans="1:7" x14ac:dyDescent="0.25">
      <c r="A1590" t="s">
        <v>2020</v>
      </c>
      <c r="B1590" t="s">
        <v>1995</v>
      </c>
      <c r="C1590" t="s">
        <v>271</v>
      </c>
      <c r="D1590" s="85">
        <v>289005.90999999997</v>
      </c>
      <c r="E1590" s="85">
        <v>13122.41</v>
      </c>
      <c r="F1590" s="85">
        <v>0</v>
      </c>
      <c r="G1590" s="85">
        <v>302128.32</v>
      </c>
    </row>
    <row r="1591" spans="1:7" x14ac:dyDescent="0.25">
      <c r="A1591" t="s">
        <v>3016</v>
      </c>
      <c r="B1591" t="s">
        <v>3017</v>
      </c>
      <c r="C1591" t="s">
        <v>271</v>
      </c>
      <c r="D1591" s="85">
        <v>129648.87</v>
      </c>
      <c r="E1591" s="85">
        <v>0</v>
      </c>
      <c r="F1591" s="85">
        <v>0</v>
      </c>
      <c r="G1591" s="85">
        <v>129648.87</v>
      </c>
    </row>
    <row r="1592" spans="1:7" x14ac:dyDescent="0.25">
      <c r="A1592" t="s">
        <v>3018</v>
      </c>
      <c r="B1592" t="s">
        <v>3019</v>
      </c>
      <c r="C1592" t="s">
        <v>271</v>
      </c>
      <c r="D1592" s="85">
        <v>129648.87</v>
      </c>
      <c r="E1592" s="85">
        <v>0</v>
      </c>
      <c r="F1592" s="85">
        <v>0</v>
      </c>
      <c r="G1592" s="85">
        <v>129648.87</v>
      </c>
    </row>
    <row r="1593" spans="1:7" x14ac:dyDescent="0.25">
      <c r="A1593" t="s">
        <v>3020</v>
      </c>
      <c r="B1593" t="s">
        <v>586</v>
      </c>
      <c r="C1593" t="s">
        <v>271</v>
      </c>
      <c r="D1593" s="85">
        <v>129648.87</v>
      </c>
      <c r="E1593" s="85">
        <v>0</v>
      </c>
      <c r="F1593" s="85">
        <v>0</v>
      </c>
      <c r="G1593" s="85">
        <v>129648.87</v>
      </c>
    </row>
    <row r="1594" spans="1:7" x14ac:dyDescent="0.25">
      <c r="A1594" t="s">
        <v>3021</v>
      </c>
      <c r="B1594" t="s">
        <v>3022</v>
      </c>
      <c r="C1594" t="s">
        <v>283</v>
      </c>
      <c r="D1594" s="85">
        <v>129648.87</v>
      </c>
      <c r="E1594" s="85">
        <v>0</v>
      </c>
      <c r="F1594" s="85">
        <v>0</v>
      </c>
      <c r="G1594" s="85">
        <v>129648.87</v>
      </c>
    </row>
    <row r="1595" spans="1:7" x14ac:dyDescent="0.25">
      <c r="A1595" t="s">
        <v>2021</v>
      </c>
      <c r="B1595" t="s">
        <v>1739</v>
      </c>
      <c r="C1595" t="s">
        <v>271</v>
      </c>
      <c r="D1595" s="85">
        <v>159357.04</v>
      </c>
      <c r="E1595" s="85">
        <v>13122.41</v>
      </c>
      <c r="F1595" s="85">
        <v>0</v>
      </c>
      <c r="G1595" s="85">
        <v>172479.45</v>
      </c>
    </row>
    <row r="1596" spans="1:7" x14ac:dyDescent="0.25">
      <c r="A1596" t="s">
        <v>2022</v>
      </c>
      <c r="B1596" t="s">
        <v>331</v>
      </c>
      <c r="C1596" t="s">
        <v>271</v>
      </c>
      <c r="D1596" s="85">
        <v>159357.04</v>
      </c>
      <c r="E1596" s="85">
        <v>13122.41</v>
      </c>
      <c r="F1596" s="85">
        <v>0</v>
      </c>
      <c r="G1596" s="85">
        <v>172479.45</v>
      </c>
    </row>
    <row r="1597" spans="1:7" x14ac:dyDescent="0.25">
      <c r="A1597" t="s">
        <v>2023</v>
      </c>
      <c r="B1597" t="s">
        <v>2024</v>
      </c>
      <c r="C1597" t="s">
        <v>271</v>
      </c>
      <c r="D1597" s="85">
        <v>159357.04</v>
      </c>
      <c r="E1597" s="85">
        <v>13122.41</v>
      </c>
      <c r="F1597" s="85">
        <v>0</v>
      </c>
      <c r="G1597" s="85">
        <v>172479.45</v>
      </c>
    </row>
    <row r="1598" spans="1:7" x14ac:dyDescent="0.25">
      <c r="A1598" t="s">
        <v>2542</v>
      </c>
      <c r="B1598" t="s">
        <v>2543</v>
      </c>
      <c r="C1598" t="s">
        <v>283</v>
      </c>
      <c r="D1598" s="85">
        <v>1.75</v>
      </c>
      <c r="E1598" s="85">
        <v>0.01</v>
      </c>
      <c r="F1598" s="85">
        <v>0</v>
      </c>
      <c r="G1598" s="85">
        <v>1.76</v>
      </c>
    </row>
    <row r="1599" spans="1:7" x14ac:dyDescent="0.25">
      <c r="A1599" t="s">
        <v>3023</v>
      </c>
      <c r="B1599" t="s">
        <v>3024</v>
      </c>
      <c r="C1599" t="s">
        <v>283</v>
      </c>
      <c r="D1599" s="85">
        <v>159355.29</v>
      </c>
      <c r="E1599" s="85">
        <v>13122.4</v>
      </c>
      <c r="F1599" s="85">
        <v>0</v>
      </c>
      <c r="G1599" s="85">
        <v>172477.69</v>
      </c>
    </row>
    <row r="1600" spans="1:7" x14ac:dyDescent="0.25">
      <c r="A1600" t="s">
        <v>3025</v>
      </c>
      <c r="B1600" t="s">
        <v>793</v>
      </c>
      <c r="C1600" t="s">
        <v>271</v>
      </c>
      <c r="D1600" s="85">
        <v>0</v>
      </c>
      <c r="E1600" s="85">
        <v>28652</v>
      </c>
      <c r="F1600" s="85">
        <v>0</v>
      </c>
      <c r="G1600" s="85">
        <v>28652</v>
      </c>
    </row>
    <row r="1601" spans="1:7" x14ac:dyDescent="0.25">
      <c r="A1601" t="s">
        <v>3026</v>
      </c>
      <c r="B1601" t="s">
        <v>1707</v>
      </c>
      <c r="C1601" t="s">
        <v>271</v>
      </c>
      <c r="D1601" s="85">
        <v>0</v>
      </c>
      <c r="E1601" s="85">
        <v>28652</v>
      </c>
      <c r="F1601" s="85">
        <v>0</v>
      </c>
      <c r="G1601" s="85">
        <v>28652</v>
      </c>
    </row>
    <row r="1602" spans="1:7" x14ac:dyDescent="0.25">
      <c r="A1602" t="s">
        <v>3027</v>
      </c>
      <c r="B1602" t="s">
        <v>3028</v>
      </c>
      <c r="C1602" t="s">
        <v>283</v>
      </c>
      <c r="D1602" s="85">
        <v>0</v>
      </c>
      <c r="E1602" s="85">
        <v>28652</v>
      </c>
      <c r="F1602" s="85">
        <v>0</v>
      </c>
      <c r="G1602" s="85">
        <v>28652</v>
      </c>
    </row>
    <row r="1603" spans="1:7" x14ac:dyDescent="0.25">
      <c r="A1603" t="s">
        <v>2025</v>
      </c>
      <c r="B1603" t="s">
        <v>2026</v>
      </c>
      <c r="C1603" t="s">
        <v>271</v>
      </c>
      <c r="D1603" s="85">
        <v>-523324.68</v>
      </c>
      <c r="E1603" s="85">
        <v>81090.98</v>
      </c>
      <c r="F1603" s="85">
        <v>2768462.41</v>
      </c>
      <c r="G1603" s="85">
        <v>-3210696.11</v>
      </c>
    </row>
    <row r="1604" spans="1:7" x14ac:dyDescent="0.25">
      <c r="A1604" t="s">
        <v>2027</v>
      </c>
      <c r="B1604" t="s">
        <v>2028</v>
      </c>
      <c r="C1604" t="s">
        <v>271</v>
      </c>
      <c r="D1604" s="85">
        <v>-523324.68</v>
      </c>
      <c r="E1604" s="85">
        <v>81090.98</v>
      </c>
      <c r="F1604" s="85">
        <v>2768462.41</v>
      </c>
      <c r="G1604" s="85">
        <v>-3210696.11</v>
      </c>
    </row>
    <row r="1605" spans="1:7" x14ac:dyDescent="0.25">
      <c r="A1605" t="s">
        <v>2029</v>
      </c>
      <c r="B1605" t="s">
        <v>1995</v>
      </c>
      <c r="C1605" t="s">
        <v>271</v>
      </c>
      <c r="D1605" s="85">
        <v>-523324.68</v>
      </c>
      <c r="E1605" s="85">
        <v>81090.98</v>
      </c>
      <c r="F1605" s="85">
        <v>2768462.41</v>
      </c>
      <c r="G1605" s="85">
        <v>-3210696.11</v>
      </c>
    </row>
    <row r="1606" spans="1:7" x14ac:dyDescent="0.25">
      <c r="A1606" t="s">
        <v>2030</v>
      </c>
      <c r="B1606" t="s">
        <v>2031</v>
      </c>
      <c r="C1606" t="s">
        <v>271</v>
      </c>
      <c r="D1606" s="85">
        <v>-11599069.77</v>
      </c>
      <c r="E1606" s="85">
        <v>0</v>
      </c>
      <c r="F1606" s="85">
        <v>2768462.28</v>
      </c>
      <c r="G1606" s="85">
        <v>-14367532.050000001</v>
      </c>
    </row>
    <row r="1607" spans="1:7" x14ac:dyDescent="0.25">
      <c r="A1607" t="s">
        <v>2032</v>
      </c>
      <c r="B1607" t="s">
        <v>2033</v>
      </c>
      <c r="C1607" t="s">
        <v>271</v>
      </c>
      <c r="D1607" s="85">
        <v>-11599069.77</v>
      </c>
      <c r="E1607" s="85">
        <v>0</v>
      </c>
      <c r="F1607" s="85">
        <v>2768462.28</v>
      </c>
      <c r="G1607" s="85">
        <v>-14367532.050000001</v>
      </c>
    </row>
    <row r="1608" spans="1:7" x14ac:dyDescent="0.25">
      <c r="A1608" t="s">
        <v>2034</v>
      </c>
      <c r="B1608" t="s">
        <v>555</v>
      </c>
      <c r="C1608" t="s">
        <v>283</v>
      </c>
      <c r="D1608" s="85">
        <v>-2635691.58</v>
      </c>
      <c r="E1608" s="85">
        <v>0</v>
      </c>
      <c r="F1608" s="85">
        <v>1604232.61</v>
      </c>
      <c r="G1608" s="85">
        <v>-4239924.1900000004</v>
      </c>
    </row>
    <row r="1609" spans="1:7" x14ac:dyDescent="0.25">
      <c r="A1609" t="s">
        <v>2035</v>
      </c>
      <c r="B1609" t="s">
        <v>559</v>
      </c>
      <c r="C1609" t="s">
        <v>283</v>
      </c>
      <c r="D1609" s="85">
        <v>-1865989.52</v>
      </c>
      <c r="E1609" s="85">
        <v>0</v>
      </c>
      <c r="F1609" s="85">
        <v>1164229.67</v>
      </c>
      <c r="G1609" s="85">
        <v>-3030219.19</v>
      </c>
    </row>
    <row r="1610" spans="1:7" x14ac:dyDescent="0.25">
      <c r="A1610" t="s">
        <v>2036</v>
      </c>
      <c r="B1610" t="s">
        <v>557</v>
      </c>
      <c r="C1610" t="s">
        <v>283</v>
      </c>
      <c r="D1610" s="85">
        <v>-7097388.6699999999</v>
      </c>
      <c r="E1610" s="85">
        <v>0</v>
      </c>
      <c r="F1610" s="85">
        <v>0</v>
      </c>
      <c r="G1610" s="85">
        <v>-7097388.6699999999</v>
      </c>
    </row>
    <row r="1611" spans="1:7" x14ac:dyDescent="0.25">
      <c r="A1611" t="s">
        <v>2037</v>
      </c>
      <c r="B1611" t="s">
        <v>2038</v>
      </c>
      <c r="C1611" t="s">
        <v>271</v>
      </c>
      <c r="D1611" s="85">
        <v>11075745.09</v>
      </c>
      <c r="E1611" s="85">
        <v>81090.98</v>
      </c>
      <c r="F1611" s="85">
        <v>0.13</v>
      </c>
      <c r="G1611" s="85">
        <v>11156835.939999999</v>
      </c>
    </row>
    <row r="1612" spans="1:7" x14ac:dyDescent="0.25">
      <c r="A1612" t="s">
        <v>2039</v>
      </c>
      <c r="B1612" t="s">
        <v>2040</v>
      </c>
      <c r="C1612" t="s">
        <v>271</v>
      </c>
      <c r="D1612" s="85">
        <v>11075745.09</v>
      </c>
      <c r="E1612" s="85">
        <v>81090.98</v>
      </c>
      <c r="F1612" s="85">
        <v>0.13</v>
      </c>
      <c r="G1612" s="85">
        <v>11156835.939999999</v>
      </c>
    </row>
    <row r="1613" spans="1:7" x14ac:dyDescent="0.25">
      <c r="A1613" t="s">
        <v>2041</v>
      </c>
      <c r="B1613" t="s">
        <v>555</v>
      </c>
      <c r="C1613" t="s">
        <v>283</v>
      </c>
      <c r="D1613" s="85">
        <v>4210620.08</v>
      </c>
      <c r="E1613" s="85">
        <v>0</v>
      </c>
      <c r="F1613" s="85">
        <v>0</v>
      </c>
      <c r="G1613" s="85">
        <v>4210620.08</v>
      </c>
    </row>
    <row r="1614" spans="1:7" x14ac:dyDescent="0.25">
      <c r="A1614" t="s">
        <v>2042</v>
      </c>
      <c r="B1614" t="s">
        <v>559</v>
      </c>
      <c r="C1614" t="s">
        <v>283</v>
      </c>
      <c r="D1614" s="85">
        <v>6865125.0099999998</v>
      </c>
      <c r="E1614" s="85">
        <v>0</v>
      </c>
      <c r="F1614" s="85">
        <v>0</v>
      </c>
      <c r="G1614" s="85">
        <v>6865125.0099999998</v>
      </c>
    </row>
    <row r="1615" spans="1:7" x14ac:dyDescent="0.25">
      <c r="A1615" t="s">
        <v>3029</v>
      </c>
      <c r="B1615" t="s">
        <v>557</v>
      </c>
      <c r="C1615" t="s">
        <v>283</v>
      </c>
      <c r="D1615" s="85">
        <v>0</v>
      </c>
      <c r="E1615" s="85">
        <v>81090.98</v>
      </c>
      <c r="F1615" s="85">
        <v>0.13</v>
      </c>
      <c r="G1615" s="85">
        <v>81090.850000000006</v>
      </c>
    </row>
    <row r="1616" spans="1:7" x14ac:dyDescent="0.25">
      <c r="A1616" t="s">
        <v>2043</v>
      </c>
      <c r="B1616" t="s">
        <v>2044</v>
      </c>
      <c r="C1616" t="s">
        <v>271</v>
      </c>
      <c r="D1616" s="85">
        <v>57428622.170000002</v>
      </c>
      <c r="E1616" s="85">
        <v>2860489.62</v>
      </c>
      <c r="F1616" s="85">
        <v>435921.41</v>
      </c>
      <c r="G1616" s="85">
        <v>59853190.380000003</v>
      </c>
    </row>
    <row r="1617" spans="1:7" x14ac:dyDescent="0.25">
      <c r="A1617" t="s">
        <v>2045</v>
      </c>
      <c r="B1617" t="s">
        <v>2046</v>
      </c>
      <c r="C1617" t="s">
        <v>271</v>
      </c>
      <c r="D1617" s="85">
        <v>-5189448.6100000003</v>
      </c>
      <c r="E1617" s="85">
        <v>20388.29</v>
      </c>
      <c r="F1617" s="85">
        <v>435921.4</v>
      </c>
      <c r="G1617" s="85">
        <v>-5604981.7199999997</v>
      </c>
    </row>
    <row r="1618" spans="1:7" x14ac:dyDescent="0.25">
      <c r="A1618" t="s">
        <v>2047</v>
      </c>
      <c r="B1618" t="s">
        <v>581</v>
      </c>
      <c r="C1618" t="s">
        <v>271</v>
      </c>
      <c r="D1618" s="85">
        <v>-5189448.6100000003</v>
      </c>
      <c r="E1618" s="85">
        <v>0.01</v>
      </c>
      <c r="F1618" s="85">
        <v>289.72000000000003</v>
      </c>
      <c r="G1618" s="85">
        <v>-5189738.32</v>
      </c>
    </row>
    <row r="1619" spans="1:7" x14ac:dyDescent="0.25">
      <c r="A1619" t="s">
        <v>2048</v>
      </c>
      <c r="B1619" t="s">
        <v>2049</v>
      </c>
      <c r="C1619" t="s">
        <v>271</v>
      </c>
      <c r="D1619" s="85">
        <v>-10315.969999999999</v>
      </c>
      <c r="E1619" s="85">
        <v>0</v>
      </c>
      <c r="F1619" s="85">
        <v>289.72000000000003</v>
      </c>
      <c r="G1619" s="85">
        <v>-10605.69</v>
      </c>
    </row>
    <row r="1620" spans="1:7" x14ac:dyDescent="0.25">
      <c r="A1620" t="s">
        <v>2050</v>
      </c>
      <c r="B1620" t="s">
        <v>2049</v>
      </c>
      <c r="C1620" t="s">
        <v>271</v>
      </c>
      <c r="D1620" s="85">
        <v>-10315.969999999999</v>
      </c>
      <c r="E1620" s="85">
        <v>0</v>
      </c>
      <c r="F1620" s="85">
        <v>289.72000000000003</v>
      </c>
      <c r="G1620" s="85">
        <v>-10605.69</v>
      </c>
    </row>
    <row r="1621" spans="1:7" x14ac:dyDescent="0.25">
      <c r="A1621" t="s">
        <v>2051</v>
      </c>
      <c r="B1621" t="s">
        <v>302</v>
      </c>
      <c r="C1621" t="s">
        <v>271</v>
      </c>
      <c r="D1621" s="85">
        <v>-10315.969999999999</v>
      </c>
      <c r="E1621" s="85">
        <v>0</v>
      </c>
      <c r="F1621" s="85">
        <v>289.72000000000003</v>
      </c>
      <c r="G1621" s="85">
        <v>-10605.69</v>
      </c>
    </row>
    <row r="1622" spans="1:7" x14ac:dyDescent="0.25">
      <c r="A1622" t="s">
        <v>2052</v>
      </c>
      <c r="B1622" t="s">
        <v>2053</v>
      </c>
      <c r="C1622" t="s">
        <v>283</v>
      </c>
      <c r="D1622" s="85">
        <v>-10315.969999999999</v>
      </c>
      <c r="E1622" s="85">
        <v>0</v>
      </c>
      <c r="F1622" s="85">
        <v>289.72000000000003</v>
      </c>
      <c r="G1622" s="85">
        <v>-10605.69</v>
      </c>
    </row>
    <row r="1623" spans="1:7" x14ac:dyDescent="0.25">
      <c r="A1623" t="s">
        <v>2054</v>
      </c>
      <c r="B1623" t="s">
        <v>2055</v>
      </c>
      <c r="C1623" t="s">
        <v>271</v>
      </c>
      <c r="D1623" s="85">
        <v>-5404673.7699999996</v>
      </c>
      <c r="E1623" s="85">
        <v>0</v>
      </c>
      <c r="F1623" s="85">
        <v>0</v>
      </c>
      <c r="G1623" s="85">
        <v>-5404673.7699999996</v>
      </c>
    </row>
    <row r="1624" spans="1:7" x14ac:dyDescent="0.25">
      <c r="A1624" t="s">
        <v>2056</v>
      </c>
      <c r="B1624" t="s">
        <v>1753</v>
      </c>
      <c r="C1624" t="s">
        <v>283</v>
      </c>
      <c r="D1624" s="85">
        <v>-5404673.7699999996</v>
      </c>
      <c r="E1624" s="85">
        <v>0</v>
      </c>
      <c r="F1624" s="85">
        <v>0</v>
      </c>
      <c r="G1624" s="85">
        <v>-5404673.7699999996</v>
      </c>
    </row>
    <row r="1625" spans="1:7" x14ac:dyDescent="0.25">
      <c r="A1625" t="s">
        <v>2057</v>
      </c>
      <c r="B1625" t="s">
        <v>2058</v>
      </c>
      <c r="C1625" t="s">
        <v>271</v>
      </c>
      <c r="D1625" s="85">
        <v>-30815.69</v>
      </c>
      <c r="E1625" s="85">
        <v>0</v>
      </c>
      <c r="F1625" s="85">
        <v>0</v>
      </c>
      <c r="G1625" s="85">
        <v>-30815.69</v>
      </c>
    </row>
    <row r="1626" spans="1:7" x14ac:dyDescent="0.25">
      <c r="A1626" t="s">
        <v>2059</v>
      </c>
      <c r="B1626" t="s">
        <v>1753</v>
      </c>
      <c r="C1626" t="s">
        <v>283</v>
      </c>
      <c r="D1626" s="85">
        <v>-30815.69</v>
      </c>
      <c r="E1626" s="85">
        <v>0</v>
      </c>
      <c r="F1626" s="85">
        <v>0</v>
      </c>
      <c r="G1626" s="85">
        <v>-30815.69</v>
      </c>
    </row>
    <row r="1627" spans="1:7" x14ac:dyDescent="0.25">
      <c r="A1627" t="s">
        <v>2060</v>
      </c>
      <c r="B1627" t="s">
        <v>2061</v>
      </c>
      <c r="C1627" t="s">
        <v>271</v>
      </c>
      <c r="D1627" s="85">
        <v>256703.47</v>
      </c>
      <c r="E1627" s="85">
        <v>0</v>
      </c>
      <c r="F1627" s="85">
        <v>0</v>
      </c>
      <c r="G1627" s="85">
        <v>256703.47</v>
      </c>
    </row>
    <row r="1628" spans="1:7" x14ac:dyDescent="0.25">
      <c r="A1628" t="s">
        <v>2062</v>
      </c>
      <c r="B1628" t="s">
        <v>1753</v>
      </c>
      <c r="C1628" t="s">
        <v>283</v>
      </c>
      <c r="D1628" s="85">
        <v>256703.47</v>
      </c>
      <c r="E1628" s="85">
        <v>0</v>
      </c>
      <c r="F1628" s="85">
        <v>0</v>
      </c>
      <c r="G1628" s="85">
        <v>256703.47</v>
      </c>
    </row>
    <row r="1629" spans="1:7" x14ac:dyDescent="0.25">
      <c r="A1629" t="s">
        <v>2063</v>
      </c>
      <c r="B1629" t="s">
        <v>2064</v>
      </c>
      <c r="C1629" t="s">
        <v>271</v>
      </c>
      <c r="D1629" s="85">
        <v>-0.09</v>
      </c>
      <c r="E1629" s="85">
        <v>0</v>
      </c>
      <c r="F1629" s="85">
        <v>0</v>
      </c>
      <c r="G1629" s="85">
        <v>-0.09</v>
      </c>
    </row>
    <row r="1630" spans="1:7" x14ac:dyDescent="0.25">
      <c r="A1630" t="s">
        <v>2065</v>
      </c>
      <c r="B1630" t="s">
        <v>1753</v>
      </c>
      <c r="C1630" t="s">
        <v>283</v>
      </c>
      <c r="D1630" s="85">
        <v>-0.09</v>
      </c>
      <c r="E1630" s="85">
        <v>0</v>
      </c>
      <c r="F1630" s="85">
        <v>0</v>
      </c>
      <c r="G1630" s="85">
        <v>-0.09</v>
      </c>
    </row>
    <row r="1631" spans="1:7" x14ac:dyDescent="0.25">
      <c r="A1631" t="s">
        <v>3030</v>
      </c>
      <c r="B1631" t="s">
        <v>2066</v>
      </c>
      <c r="C1631" t="s">
        <v>271</v>
      </c>
      <c r="D1631" s="85">
        <v>-346.56</v>
      </c>
      <c r="E1631" s="85">
        <v>0.01</v>
      </c>
      <c r="F1631" s="85">
        <v>0</v>
      </c>
      <c r="G1631" s="85">
        <v>-346.55</v>
      </c>
    </row>
    <row r="1632" spans="1:7" x14ac:dyDescent="0.25">
      <c r="A1632" t="s">
        <v>3031</v>
      </c>
      <c r="B1632" t="s">
        <v>2067</v>
      </c>
      <c r="C1632" t="s">
        <v>271</v>
      </c>
      <c r="D1632" s="85">
        <v>-346.56</v>
      </c>
      <c r="E1632" s="85">
        <v>0.01</v>
      </c>
      <c r="F1632" s="85">
        <v>0</v>
      </c>
      <c r="G1632" s="85">
        <v>-346.55</v>
      </c>
    </row>
    <row r="1633" spans="1:7" x14ac:dyDescent="0.25">
      <c r="A1633" t="s">
        <v>3032</v>
      </c>
      <c r="B1633" t="s">
        <v>3033</v>
      </c>
      <c r="C1633" t="s">
        <v>271</v>
      </c>
      <c r="D1633" s="85">
        <v>-346.56</v>
      </c>
      <c r="E1633" s="85">
        <v>0.01</v>
      </c>
      <c r="F1633" s="85">
        <v>0</v>
      </c>
      <c r="G1633" s="85">
        <v>-346.55</v>
      </c>
    </row>
    <row r="1634" spans="1:7" x14ac:dyDescent="0.25">
      <c r="A1634" t="s">
        <v>3034</v>
      </c>
      <c r="B1634" t="s">
        <v>2066</v>
      </c>
      <c r="C1634" t="s">
        <v>283</v>
      </c>
      <c r="D1634" s="85">
        <v>-346.56</v>
      </c>
      <c r="E1634" s="85">
        <v>0.01</v>
      </c>
      <c r="F1634" s="85">
        <v>0</v>
      </c>
      <c r="G1634" s="85">
        <v>-346.55</v>
      </c>
    </row>
    <row r="1635" spans="1:7" x14ac:dyDescent="0.25">
      <c r="A1635" t="s">
        <v>2068</v>
      </c>
      <c r="B1635" t="s">
        <v>1804</v>
      </c>
      <c r="C1635" t="s">
        <v>271</v>
      </c>
      <c r="D1635" s="85">
        <v>0</v>
      </c>
      <c r="E1635" s="85">
        <v>20388.28</v>
      </c>
      <c r="F1635" s="85">
        <v>435631.68</v>
      </c>
      <c r="G1635" s="85">
        <v>-415243.4</v>
      </c>
    </row>
    <row r="1636" spans="1:7" x14ac:dyDescent="0.25">
      <c r="A1636" t="s">
        <v>2069</v>
      </c>
      <c r="B1636" t="s">
        <v>2049</v>
      </c>
      <c r="C1636" t="s">
        <v>271</v>
      </c>
      <c r="D1636" s="85">
        <v>-5404673.7699999996</v>
      </c>
      <c r="E1636" s="85">
        <v>0</v>
      </c>
      <c r="F1636" s="85">
        <v>417486.69</v>
      </c>
      <c r="G1636" s="85">
        <v>-5822160.46</v>
      </c>
    </row>
    <row r="1637" spans="1:7" x14ac:dyDescent="0.25">
      <c r="A1637" t="s">
        <v>2070</v>
      </c>
      <c r="B1637" t="s">
        <v>335</v>
      </c>
      <c r="C1637" t="s">
        <v>271</v>
      </c>
      <c r="D1637" s="85">
        <v>-5404673.7699999996</v>
      </c>
      <c r="E1637" s="85">
        <v>0</v>
      </c>
      <c r="F1637" s="85">
        <v>417486.69</v>
      </c>
      <c r="G1637" s="85">
        <v>-5822160.46</v>
      </c>
    </row>
    <row r="1638" spans="1:7" x14ac:dyDescent="0.25">
      <c r="A1638" t="s">
        <v>2071</v>
      </c>
      <c r="B1638" t="s">
        <v>2053</v>
      </c>
      <c r="C1638" t="s">
        <v>283</v>
      </c>
      <c r="D1638" s="85">
        <v>-5404673.7699999996</v>
      </c>
      <c r="E1638" s="85">
        <v>0</v>
      </c>
      <c r="F1638" s="85">
        <v>417486.69</v>
      </c>
      <c r="G1638" s="85">
        <v>-5822160.46</v>
      </c>
    </row>
    <row r="1639" spans="1:7" x14ac:dyDescent="0.25">
      <c r="A1639" t="s">
        <v>2072</v>
      </c>
      <c r="B1639" t="s">
        <v>2073</v>
      </c>
      <c r="C1639" t="s">
        <v>271</v>
      </c>
      <c r="D1639" s="85">
        <v>-30815.69</v>
      </c>
      <c r="E1639" s="85">
        <v>0</v>
      </c>
      <c r="F1639" s="85">
        <v>0</v>
      </c>
      <c r="G1639" s="85">
        <v>-30815.69</v>
      </c>
    </row>
    <row r="1640" spans="1:7" x14ac:dyDescent="0.25">
      <c r="A1640" t="s">
        <v>2074</v>
      </c>
      <c r="B1640" t="s">
        <v>335</v>
      </c>
      <c r="C1640" t="s">
        <v>271</v>
      </c>
      <c r="D1640" s="85">
        <v>-30815.69</v>
      </c>
      <c r="E1640" s="85">
        <v>0</v>
      </c>
      <c r="F1640" s="85">
        <v>0</v>
      </c>
      <c r="G1640" s="85">
        <v>-30815.69</v>
      </c>
    </row>
    <row r="1641" spans="1:7" x14ac:dyDescent="0.25">
      <c r="A1641" t="s">
        <v>2075</v>
      </c>
      <c r="B1641" t="s">
        <v>2076</v>
      </c>
      <c r="C1641" t="s">
        <v>283</v>
      </c>
      <c r="D1641" s="85">
        <v>-30815.69</v>
      </c>
      <c r="E1641" s="85">
        <v>0</v>
      </c>
      <c r="F1641" s="85">
        <v>0</v>
      </c>
      <c r="G1641" s="85">
        <v>-30815.69</v>
      </c>
    </row>
    <row r="1642" spans="1:7" x14ac:dyDescent="0.25">
      <c r="A1642" t="s">
        <v>2077</v>
      </c>
      <c r="B1642" t="s">
        <v>2078</v>
      </c>
      <c r="C1642" t="s">
        <v>271</v>
      </c>
      <c r="D1642" s="85">
        <v>256703.47</v>
      </c>
      <c r="E1642" s="85">
        <v>20388.28</v>
      </c>
      <c r="F1642" s="85">
        <v>0</v>
      </c>
      <c r="G1642" s="85">
        <v>277091.75</v>
      </c>
    </row>
    <row r="1643" spans="1:7" x14ac:dyDescent="0.25">
      <c r="A1643" t="s">
        <v>2079</v>
      </c>
      <c r="B1643" t="s">
        <v>2078</v>
      </c>
      <c r="C1643" t="s">
        <v>271</v>
      </c>
      <c r="D1643" s="85">
        <v>256703.47</v>
      </c>
      <c r="E1643" s="85">
        <v>20388.28</v>
      </c>
      <c r="F1643" s="85">
        <v>0</v>
      </c>
      <c r="G1643" s="85">
        <v>277091.75</v>
      </c>
    </row>
    <row r="1644" spans="1:7" x14ac:dyDescent="0.25">
      <c r="A1644" t="s">
        <v>2080</v>
      </c>
      <c r="B1644" t="s">
        <v>335</v>
      </c>
      <c r="C1644" t="s">
        <v>271</v>
      </c>
      <c r="D1644" s="85">
        <v>256703.47</v>
      </c>
      <c r="E1644" s="85">
        <v>20388.28</v>
      </c>
      <c r="F1644" s="85">
        <v>0</v>
      </c>
      <c r="G1644" s="85">
        <v>277091.75</v>
      </c>
    </row>
    <row r="1645" spans="1:7" x14ac:dyDescent="0.25">
      <c r="A1645" t="s">
        <v>2081</v>
      </c>
      <c r="B1645" t="s">
        <v>445</v>
      </c>
      <c r="C1645" t="s">
        <v>283</v>
      </c>
      <c r="D1645" s="85">
        <v>35448.639999999999</v>
      </c>
      <c r="E1645" s="85">
        <v>2833.49</v>
      </c>
      <c r="F1645" s="85">
        <v>0</v>
      </c>
      <c r="G1645" s="85">
        <v>38282.129999999997</v>
      </c>
    </row>
    <row r="1646" spans="1:7" x14ac:dyDescent="0.25">
      <c r="A1646" t="s">
        <v>2082</v>
      </c>
      <c r="B1646" t="s">
        <v>216</v>
      </c>
      <c r="C1646" t="s">
        <v>283</v>
      </c>
      <c r="D1646" s="85">
        <v>218145.41</v>
      </c>
      <c r="E1646" s="85">
        <v>17436.86</v>
      </c>
      <c r="F1646" s="85">
        <v>0</v>
      </c>
      <c r="G1646" s="85">
        <v>235582.27</v>
      </c>
    </row>
    <row r="1647" spans="1:7" x14ac:dyDescent="0.25">
      <c r="A1647" t="s">
        <v>2083</v>
      </c>
      <c r="B1647" t="s">
        <v>2084</v>
      </c>
      <c r="C1647" t="s">
        <v>283</v>
      </c>
      <c r="D1647" s="85">
        <v>3109.42</v>
      </c>
      <c r="E1647" s="85">
        <v>117.93</v>
      </c>
      <c r="F1647" s="85">
        <v>0</v>
      </c>
      <c r="G1647" s="85">
        <v>3227.35</v>
      </c>
    </row>
    <row r="1648" spans="1:7" x14ac:dyDescent="0.25">
      <c r="A1648" t="s">
        <v>2085</v>
      </c>
      <c r="B1648" t="s">
        <v>2086</v>
      </c>
      <c r="C1648" t="s">
        <v>271</v>
      </c>
      <c r="D1648" s="85">
        <v>5404673.7699999996</v>
      </c>
      <c r="E1648" s="85">
        <v>0</v>
      </c>
      <c r="F1648" s="85">
        <v>0</v>
      </c>
      <c r="G1648" s="85">
        <v>5404673.7699999996</v>
      </c>
    </row>
    <row r="1649" spans="1:7" x14ac:dyDescent="0.25">
      <c r="A1649" t="s">
        <v>2087</v>
      </c>
      <c r="B1649" t="s">
        <v>581</v>
      </c>
      <c r="C1649" t="s">
        <v>271</v>
      </c>
      <c r="D1649" s="85">
        <v>5404673.7699999996</v>
      </c>
      <c r="E1649" s="85">
        <v>0</v>
      </c>
      <c r="F1649" s="85">
        <v>0</v>
      </c>
      <c r="G1649" s="85">
        <v>5404673.7699999996</v>
      </c>
    </row>
    <row r="1650" spans="1:7" x14ac:dyDescent="0.25">
      <c r="A1650" t="s">
        <v>2088</v>
      </c>
      <c r="B1650" t="s">
        <v>2089</v>
      </c>
      <c r="C1650" t="s">
        <v>283</v>
      </c>
      <c r="D1650" s="85">
        <v>5404673.7699999996</v>
      </c>
      <c r="E1650" s="85">
        <v>0</v>
      </c>
      <c r="F1650" s="85">
        <v>0</v>
      </c>
      <c r="G1650" s="85">
        <v>5404673.7699999996</v>
      </c>
    </row>
    <row r="1651" spans="1:7" x14ac:dyDescent="0.25">
      <c r="A1651" t="s">
        <v>2090</v>
      </c>
      <c r="B1651" t="s">
        <v>2091</v>
      </c>
      <c r="C1651" t="s">
        <v>271</v>
      </c>
      <c r="D1651" s="85">
        <v>30815.69</v>
      </c>
      <c r="E1651" s="85">
        <v>0</v>
      </c>
      <c r="F1651" s="85">
        <v>0</v>
      </c>
      <c r="G1651" s="85">
        <v>30815.69</v>
      </c>
    </row>
    <row r="1652" spans="1:7" x14ac:dyDescent="0.25">
      <c r="A1652" t="s">
        <v>2092</v>
      </c>
      <c r="B1652" t="s">
        <v>581</v>
      </c>
      <c r="C1652" t="s">
        <v>271</v>
      </c>
      <c r="D1652" s="85">
        <v>30815.69</v>
      </c>
      <c r="E1652" s="85">
        <v>0</v>
      </c>
      <c r="F1652" s="85">
        <v>0</v>
      </c>
      <c r="G1652" s="85">
        <v>30815.69</v>
      </c>
    </row>
    <row r="1653" spans="1:7" x14ac:dyDescent="0.25">
      <c r="A1653" t="s">
        <v>2093</v>
      </c>
      <c r="B1653" t="s">
        <v>2089</v>
      </c>
      <c r="C1653" t="s">
        <v>283</v>
      </c>
      <c r="D1653" s="85">
        <v>30815.69</v>
      </c>
      <c r="E1653" s="85">
        <v>0</v>
      </c>
      <c r="F1653" s="85">
        <v>0</v>
      </c>
      <c r="G1653" s="85">
        <v>30815.69</v>
      </c>
    </row>
    <row r="1654" spans="1:7" x14ac:dyDescent="0.25">
      <c r="A1654" t="s">
        <v>2094</v>
      </c>
      <c r="B1654" t="s">
        <v>2095</v>
      </c>
      <c r="C1654" t="s">
        <v>271</v>
      </c>
      <c r="D1654" s="85">
        <v>-256703.47</v>
      </c>
      <c r="E1654" s="85">
        <v>0</v>
      </c>
      <c r="F1654" s="85">
        <v>0</v>
      </c>
      <c r="G1654" s="85">
        <v>-256703.47</v>
      </c>
    </row>
    <row r="1655" spans="1:7" x14ac:dyDescent="0.25">
      <c r="A1655" t="s">
        <v>2096</v>
      </c>
      <c r="B1655" t="s">
        <v>581</v>
      </c>
      <c r="C1655" t="s">
        <v>271</v>
      </c>
      <c r="D1655" s="85">
        <v>-256703.47</v>
      </c>
      <c r="E1655" s="85">
        <v>0</v>
      </c>
      <c r="F1655" s="85">
        <v>0</v>
      </c>
      <c r="G1655" s="85">
        <v>-256703.47</v>
      </c>
    </row>
    <row r="1656" spans="1:7" x14ac:dyDescent="0.25">
      <c r="A1656" t="s">
        <v>2097</v>
      </c>
      <c r="B1656" t="s">
        <v>2089</v>
      </c>
      <c r="C1656" t="s">
        <v>283</v>
      </c>
      <c r="D1656" s="85">
        <v>-256703.47</v>
      </c>
      <c r="E1656" s="85">
        <v>0</v>
      </c>
      <c r="F1656" s="85">
        <v>0</v>
      </c>
      <c r="G1656" s="85">
        <v>-256703.47</v>
      </c>
    </row>
    <row r="1657" spans="1:7" x14ac:dyDescent="0.25">
      <c r="A1657" t="s">
        <v>2098</v>
      </c>
      <c r="B1657" t="s">
        <v>2099</v>
      </c>
      <c r="C1657" t="s">
        <v>271</v>
      </c>
      <c r="D1657" s="85">
        <v>0.09</v>
      </c>
      <c r="E1657" s="85">
        <v>0</v>
      </c>
      <c r="F1657" s="85">
        <v>0</v>
      </c>
      <c r="G1657" s="85">
        <v>0.09</v>
      </c>
    </row>
    <row r="1658" spans="1:7" x14ac:dyDescent="0.25">
      <c r="A1658" t="s">
        <v>2100</v>
      </c>
      <c r="B1658" t="s">
        <v>581</v>
      </c>
      <c r="C1658" t="s">
        <v>271</v>
      </c>
      <c r="D1658" s="85">
        <v>0.09</v>
      </c>
      <c r="E1658" s="85">
        <v>0</v>
      </c>
      <c r="F1658" s="85">
        <v>0</v>
      </c>
      <c r="G1658" s="85">
        <v>0.09</v>
      </c>
    </row>
    <row r="1659" spans="1:7" x14ac:dyDescent="0.25">
      <c r="A1659" t="s">
        <v>2101</v>
      </c>
      <c r="B1659" t="s">
        <v>2089</v>
      </c>
      <c r="C1659" t="s">
        <v>283</v>
      </c>
      <c r="D1659" s="85">
        <v>0.09</v>
      </c>
      <c r="E1659" s="85">
        <v>0</v>
      </c>
      <c r="F1659" s="85">
        <v>0</v>
      </c>
      <c r="G1659" s="85">
        <v>0.09</v>
      </c>
    </row>
    <row r="1660" spans="1:7" x14ac:dyDescent="0.25">
      <c r="A1660" t="s">
        <v>2102</v>
      </c>
      <c r="B1660" t="s">
        <v>2066</v>
      </c>
      <c r="C1660" t="s">
        <v>271</v>
      </c>
      <c r="D1660" s="85">
        <v>-0.09</v>
      </c>
      <c r="E1660" s="85">
        <v>0</v>
      </c>
      <c r="F1660" s="85">
        <v>18144.990000000002</v>
      </c>
      <c r="G1660" s="85">
        <v>-18145.080000000002</v>
      </c>
    </row>
    <row r="1661" spans="1:7" x14ac:dyDescent="0.25">
      <c r="A1661" t="s">
        <v>2103</v>
      </c>
      <c r="B1661" t="s">
        <v>2067</v>
      </c>
      <c r="C1661" t="s">
        <v>271</v>
      </c>
      <c r="D1661" s="85">
        <v>-0.09</v>
      </c>
      <c r="E1661" s="85">
        <v>0</v>
      </c>
      <c r="F1661" s="85">
        <v>18144.990000000002</v>
      </c>
      <c r="G1661" s="85">
        <v>-18145.080000000002</v>
      </c>
    </row>
    <row r="1662" spans="1:7" x14ac:dyDescent="0.25">
      <c r="A1662" t="s">
        <v>2104</v>
      </c>
      <c r="B1662" t="s">
        <v>335</v>
      </c>
      <c r="C1662" t="s">
        <v>271</v>
      </c>
      <c r="D1662" s="85">
        <v>-0.09</v>
      </c>
      <c r="E1662" s="85">
        <v>0</v>
      </c>
      <c r="F1662" s="85">
        <v>18144.990000000002</v>
      </c>
      <c r="G1662" s="85">
        <v>-18145.080000000002</v>
      </c>
    </row>
    <row r="1663" spans="1:7" x14ac:dyDescent="0.25">
      <c r="A1663" t="s">
        <v>2383</v>
      </c>
      <c r="B1663" t="s">
        <v>2384</v>
      </c>
      <c r="C1663" t="s">
        <v>283</v>
      </c>
      <c r="D1663" s="85">
        <v>-0.09</v>
      </c>
      <c r="E1663" s="85">
        <v>0</v>
      </c>
      <c r="F1663" s="85">
        <v>0</v>
      </c>
      <c r="G1663" s="85">
        <v>-0.09</v>
      </c>
    </row>
    <row r="1664" spans="1:7" x14ac:dyDescent="0.25">
      <c r="A1664" t="s">
        <v>2255</v>
      </c>
      <c r="B1664" t="s">
        <v>3035</v>
      </c>
      <c r="C1664" t="s">
        <v>283</v>
      </c>
      <c r="D1664" s="85">
        <v>0</v>
      </c>
      <c r="E1664" s="85">
        <v>0</v>
      </c>
      <c r="F1664" s="85">
        <v>18144.990000000002</v>
      </c>
      <c r="G1664" s="85">
        <v>-18144.990000000002</v>
      </c>
    </row>
    <row r="1665" spans="1:9" x14ac:dyDescent="0.25">
      <c r="A1665" t="s">
        <v>2105</v>
      </c>
      <c r="B1665" t="s">
        <v>2106</v>
      </c>
      <c r="C1665" t="s">
        <v>271</v>
      </c>
      <c r="D1665" s="85">
        <v>62618070.780000001</v>
      </c>
      <c r="E1665" s="85">
        <v>2840101.33</v>
      </c>
      <c r="F1665" s="85">
        <v>0.01</v>
      </c>
      <c r="G1665" s="85">
        <v>65458172.100000001</v>
      </c>
      <c r="I1665" s="85">
        <f>G1665-G1698</f>
        <v>53922171.560000002</v>
      </c>
    </row>
    <row r="1666" spans="1:9" x14ac:dyDescent="0.25">
      <c r="A1666" t="s">
        <v>2107</v>
      </c>
      <c r="B1666" t="s">
        <v>581</v>
      </c>
      <c r="C1666" t="s">
        <v>271</v>
      </c>
      <c r="D1666" s="85">
        <v>62618070.780000001</v>
      </c>
      <c r="E1666" s="85">
        <v>2837938.72</v>
      </c>
      <c r="F1666" s="85">
        <v>0.01</v>
      </c>
      <c r="G1666" s="85">
        <v>65456009.490000002</v>
      </c>
    </row>
    <row r="1667" spans="1:9" x14ac:dyDescent="0.25">
      <c r="A1667" t="s">
        <v>2108</v>
      </c>
      <c r="B1667" t="s">
        <v>2073</v>
      </c>
      <c r="C1667" t="s">
        <v>271</v>
      </c>
      <c r="D1667" s="85">
        <v>6560.54</v>
      </c>
      <c r="E1667" s="85">
        <v>0.54</v>
      </c>
      <c r="F1667" s="85">
        <v>0.01</v>
      </c>
      <c r="G1667" s="85">
        <v>6561.07</v>
      </c>
    </row>
    <row r="1668" spans="1:9" x14ac:dyDescent="0.25">
      <c r="A1668" t="s">
        <v>2109</v>
      </c>
      <c r="B1668" t="s">
        <v>302</v>
      </c>
      <c r="C1668" t="s">
        <v>271</v>
      </c>
      <c r="D1668" s="85">
        <v>6560.54</v>
      </c>
      <c r="E1668" s="85">
        <v>0.54</v>
      </c>
      <c r="F1668" s="85">
        <v>0.01</v>
      </c>
      <c r="G1668" s="85">
        <v>6561.07</v>
      </c>
    </row>
    <row r="1669" spans="1:9" x14ac:dyDescent="0.25">
      <c r="A1669" t="s">
        <v>2110</v>
      </c>
      <c r="B1669" t="s">
        <v>2111</v>
      </c>
      <c r="C1669" t="s">
        <v>283</v>
      </c>
      <c r="D1669" s="85">
        <v>6560.54</v>
      </c>
      <c r="E1669" s="85">
        <v>0.54</v>
      </c>
      <c r="F1669" s="85">
        <v>0.01</v>
      </c>
      <c r="G1669" s="85">
        <v>6561.07</v>
      </c>
    </row>
    <row r="1670" spans="1:9" x14ac:dyDescent="0.25">
      <c r="A1670" t="s">
        <v>2112</v>
      </c>
      <c r="B1670" t="s">
        <v>1120</v>
      </c>
      <c r="C1670" t="s">
        <v>271</v>
      </c>
      <c r="D1670" s="85">
        <v>51050198.829999998</v>
      </c>
      <c r="E1670" s="85">
        <v>2825932</v>
      </c>
      <c r="F1670" s="85">
        <v>0</v>
      </c>
      <c r="G1670" s="85">
        <v>53876130.829999998</v>
      </c>
    </row>
    <row r="1671" spans="1:9" x14ac:dyDescent="0.25">
      <c r="A1671" t="s">
        <v>2113</v>
      </c>
      <c r="B1671" t="s">
        <v>302</v>
      </c>
      <c r="C1671" t="s">
        <v>271</v>
      </c>
      <c r="D1671" s="85">
        <v>51050198.829999998</v>
      </c>
      <c r="E1671" s="85">
        <v>2825932</v>
      </c>
      <c r="F1671" s="85">
        <v>0</v>
      </c>
      <c r="G1671" s="85">
        <v>53876130.829999998</v>
      </c>
    </row>
    <row r="1672" spans="1:9" s="365" customFormat="1" x14ac:dyDescent="0.25">
      <c r="A1672" s="365" t="s">
        <v>2114</v>
      </c>
      <c r="B1672" s="365" t="s">
        <v>2115</v>
      </c>
      <c r="C1672" s="365" t="s">
        <v>283</v>
      </c>
      <c r="D1672" s="373">
        <v>47032641.829999998</v>
      </c>
      <c r="E1672" s="373">
        <v>2467841.23</v>
      </c>
      <c r="F1672" s="373">
        <v>0</v>
      </c>
      <c r="G1672" s="373">
        <v>49500483.060000002</v>
      </c>
    </row>
    <row r="1673" spans="1:9" s="365" customFormat="1" x14ac:dyDescent="0.25">
      <c r="A1673" s="365" t="s">
        <v>2116</v>
      </c>
      <c r="B1673" s="365" t="s">
        <v>2117</v>
      </c>
      <c r="C1673" s="365" t="s">
        <v>283</v>
      </c>
      <c r="D1673" s="373">
        <v>21747.51</v>
      </c>
      <c r="E1673" s="373">
        <v>1405.18</v>
      </c>
      <c r="F1673" s="373">
        <v>0</v>
      </c>
      <c r="G1673" s="373">
        <v>23152.69</v>
      </c>
    </row>
    <row r="1674" spans="1:9" s="365" customFormat="1" x14ac:dyDescent="0.25">
      <c r="A1674" s="365" t="s">
        <v>2118</v>
      </c>
      <c r="B1674" s="365" t="s">
        <v>2119</v>
      </c>
      <c r="C1674" s="365" t="s">
        <v>283</v>
      </c>
      <c r="D1674" s="373">
        <v>3995809.49</v>
      </c>
      <c r="E1674" s="373">
        <v>356685.59</v>
      </c>
      <c r="F1674" s="373">
        <v>0</v>
      </c>
      <c r="G1674" s="373">
        <v>4352495.08</v>
      </c>
    </row>
    <row r="1675" spans="1:9" x14ac:dyDescent="0.25">
      <c r="A1675" t="s">
        <v>3036</v>
      </c>
      <c r="B1675" t="s">
        <v>3037</v>
      </c>
      <c r="C1675" t="s">
        <v>271</v>
      </c>
      <c r="D1675" s="85">
        <v>513.96</v>
      </c>
      <c r="E1675" s="85">
        <v>0</v>
      </c>
      <c r="F1675" s="85">
        <v>0</v>
      </c>
      <c r="G1675" s="85">
        <v>513.96</v>
      </c>
    </row>
    <row r="1676" spans="1:9" x14ac:dyDescent="0.25">
      <c r="A1676" t="s">
        <v>3038</v>
      </c>
      <c r="B1676" t="s">
        <v>3039</v>
      </c>
      <c r="C1676" t="s">
        <v>271</v>
      </c>
      <c r="D1676" s="85">
        <v>513.96</v>
      </c>
      <c r="E1676" s="85">
        <v>0</v>
      </c>
      <c r="F1676" s="85">
        <v>0</v>
      </c>
      <c r="G1676" s="85">
        <v>513.96</v>
      </c>
    </row>
    <row r="1677" spans="1:9" x14ac:dyDescent="0.25">
      <c r="A1677" t="s">
        <v>3040</v>
      </c>
      <c r="B1677" t="s">
        <v>1753</v>
      </c>
      <c r="C1677" t="s">
        <v>283</v>
      </c>
      <c r="D1677" s="85">
        <v>513.96</v>
      </c>
      <c r="E1677" s="85">
        <v>0</v>
      </c>
      <c r="F1677" s="85">
        <v>0</v>
      </c>
      <c r="G1677" s="85">
        <v>513.96</v>
      </c>
    </row>
    <row r="1678" spans="1:9" x14ac:dyDescent="0.25">
      <c r="A1678" t="s">
        <v>2120</v>
      </c>
      <c r="B1678" t="s">
        <v>2058</v>
      </c>
      <c r="C1678" t="s">
        <v>271</v>
      </c>
      <c r="D1678" s="85">
        <v>10688.49</v>
      </c>
      <c r="E1678" s="85">
        <v>0</v>
      </c>
      <c r="F1678" s="85">
        <v>0</v>
      </c>
      <c r="G1678" s="85">
        <v>10688.49</v>
      </c>
    </row>
    <row r="1679" spans="1:9" x14ac:dyDescent="0.25">
      <c r="A1679" t="s">
        <v>2121</v>
      </c>
      <c r="B1679" t="s">
        <v>1753</v>
      </c>
      <c r="C1679" t="s">
        <v>283</v>
      </c>
      <c r="D1679" s="85">
        <v>10688.49</v>
      </c>
      <c r="E1679" s="85">
        <v>0</v>
      </c>
      <c r="F1679" s="85">
        <v>0</v>
      </c>
      <c r="G1679" s="85">
        <v>10688.49</v>
      </c>
    </row>
    <row r="1680" spans="1:9" x14ac:dyDescent="0.25">
      <c r="A1680" t="s">
        <v>2122</v>
      </c>
      <c r="B1680" t="s">
        <v>2123</v>
      </c>
      <c r="C1680" t="s">
        <v>271</v>
      </c>
      <c r="D1680" s="85">
        <v>11536000.539999999</v>
      </c>
      <c r="E1680" s="85">
        <v>0</v>
      </c>
      <c r="F1680" s="85">
        <v>0</v>
      </c>
      <c r="G1680" s="85">
        <v>11536000.539999999</v>
      </c>
    </row>
    <row r="1681" spans="1:7" x14ac:dyDescent="0.25">
      <c r="A1681" t="s">
        <v>2124</v>
      </c>
      <c r="B1681" t="s">
        <v>1753</v>
      </c>
      <c r="C1681" t="s">
        <v>283</v>
      </c>
      <c r="D1681" s="85">
        <v>11536000.539999999</v>
      </c>
      <c r="E1681" s="85">
        <v>0</v>
      </c>
      <c r="F1681" s="85">
        <v>0</v>
      </c>
      <c r="G1681" s="85">
        <v>11536000.539999999</v>
      </c>
    </row>
    <row r="1682" spans="1:7" x14ac:dyDescent="0.25">
      <c r="A1682" t="s">
        <v>2544</v>
      </c>
      <c r="B1682" t="s">
        <v>2545</v>
      </c>
      <c r="C1682" t="s">
        <v>271</v>
      </c>
      <c r="D1682" s="85">
        <v>725.02</v>
      </c>
      <c r="E1682" s="85">
        <v>0</v>
      </c>
      <c r="F1682" s="85">
        <v>0</v>
      </c>
      <c r="G1682" s="85">
        <v>725.02</v>
      </c>
    </row>
    <row r="1683" spans="1:7" x14ac:dyDescent="0.25">
      <c r="A1683" t="s">
        <v>2546</v>
      </c>
      <c r="B1683" t="s">
        <v>1753</v>
      </c>
      <c r="C1683" t="s">
        <v>283</v>
      </c>
      <c r="D1683" s="85">
        <v>725.02</v>
      </c>
      <c r="E1683" s="85">
        <v>0</v>
      </c>
      <c r="F1683" s="85">
        <v>0</v>
      </c>
      <c r="G1683" s="85">
        <v>725.02</v>
      </c>
    </row>
    <row r="1684" spans="1:7" x14ac:dyDescent="0.25">
      <c r="A1684" t="s">
        <v>2125</v>
      </c>
      <c r="B1684" t="s">
        <v>2126</v>
      </c>
      <c r="C1684" t="s">
        <v>271</v>
      </c>
      <c r="D1684" s="85">
        <v>13383.4</v>
      </c>
      <c r="E1684" s="85">
        <v>12006.18</v>
      </c>
      <c r="F1684" s="85">
        <v>0</v>
      </c>
      <c r="G1684" s="85">
        <v>25389.58</v>
      </c>
    </row>
    <row r="1685" spans="1:7" x14ac:dyDescent="0.25">
      <c r="A1685" t="s">
        <v>2127</v>
      </c>
      <c r="B1685" t="s">
        <v>2126</v>
      </c>
      <c r="C1685" t="s">
        <v>271</v>
      </c>
      <c r="D1685" s="85">
        <v>13383.4</v>
      </c>
      <c r="E1685" s="85">
        <v>12006.18</v>
      </c>
      <c r="F1685" s="85">
        <v>0</v>
      </c>
      <c r="G1685" s="85">
        <v>25389.58</v>
      </c>
    </row>
    <row r="1686" spans="1:7" x14ac:dyDescent="0.25">
      <c r="A1686" t="s">
        <v>2547</v>
      </c>
      <c r="B1686" t="s">
        <v>302</v>
      </c>
      <c r="C1686" t="s">
        <v>271</v>
      </c>
      <c r="D1686" s="85">
        <v>11391.62</v>
      </c>
      <c r="E1686" s="85">
        <v>11857.3</v>
      </c>
      <c r="F1686" s="85">
        <v>0</v>
      </c>
      <c r="G1686" s="85">
        <v>23248.92</v>
      </c>
    </row>
    <row r="1687" spans="1:7" x14ac:dyDescent="0.25">
      <c r="A1687" t="s">
        <v>2548</v>
      </c>
      <c r="B1687" t="s">
        <v>2126</v>
      </c>
      <c r="C1687" t="s">
        <v>283</v>
      </c>
      <c r="D1687" s="85">
        <v>11391.62</v>
      </c>
      <c r="E1687" s="85">
        <v>11857.3</v>
      </c>
      <c r="F1687" s="85">
        <v>0</v>
      </c>
      <c r="G1687" s="85">
        <v>23248.92</v>
      </c>
    </row>
    <row r="1688" spans="1:7" x14ac:dyDescent="0.25">
      <c r="A1688" t="s">
        <v>2128</v>
      </c>
      <c r="B1688" t="s">
        <v>591</v>
      </c>
      <c r="C1688" t="s">
        <v>271</v>
      </c>
      <c r="D1688" s="85">
        <v>1991.78</v>
      </c>
      <c r="E1688" s="85">
        <v>148.88</v>
      </c>
      <c r="F1688" s="85">
        <v>0</v>
      </c>
      <c r="G1688" s="85">
        <v>2140.66</v>
      </c>
    </row>
    <row r="1689" spans="1:7" x14ac:dyDescent="0.25">
      <c r="A1689" t="s">
        <v>2129</v>
      </c>
      <c r="B1689" t="s">
        <v>2130</v>
      </c>
      <c r="C1689" t="s">
        <v>283</v>
      </c>
      <c r="D1689" s="85">
        <v>1991.78</v>
      </c>
      <c r="E1689" s="85">
        <v>148.88</v>
      </c>
      <c r="F1689" s="85">
        <v>0</v>
      </c>
      <c r="G1689" s="85">
        <v>2140.66</v>
      </c>
    </row>
    <row r="1690" spans="1:7" x14ac:dyDescent="0.25">
      <c r="A1690" t="s">
        <v>2131</v>
      </c>
      <c r="B1690" t="s">
        <v>1804</v>
      </c>
      <c r="C1690" t="s">
        <v>271</v>
      </c>
      <c r="D1690" s="85">
        <v>0</v>
      </c>
      <c r="E1690" s="85">
        <v>2162.61</v>
      </c>
      <c r="F1690" s="85">
        <v>0</v>
      </c>
      <c r="G1690" s="85">
        <v>2162.61</v>
      </c>
    </row>
    <row r="1691" spans="1:7" x14ac:dyDescent="0.25">
      <c r="A1691" t="s">
        <v>3041</v>
      </c>
      <c r="B1691" t="s">
        <v>3042</v>
      </c>
      <c r="C1691" t="s">
        <v>271</v>
      </c>
      <c r="D1691" s="85">
        <v>513.96</v>
      </c>
      <c r="E1691" s="85">
        <v>52.44</v>
      </c>
      <c r="F1691" s="85">
        <v>0</v>
      </c>
      <c r="G1691" s="85">
        <v>566.4</v>
      </c>
    </row>
    <row r="1692" spans="1:7" x14ac:dyDescent="0.25">
      <c r="A1692" t="s">
        <v>3043</v>
      </c>
      <c r="B1692" t="s">
        <v>3039</v>
      </c>
      <c r="C1692" t="s">
        <v>271</v>
      </c>
      <c r="D1692" s="85">
        <v>513.96</v>
      </c>
      <c r="E1692" s="85">
        <v>52.44</v>
      </c>
      <c r="F1692" s="85">
        <v>0</v>
      </c>
      <c r="G1692" s="85">
        <v>566.4</v>
      </c>
    </row>
    <row r="1693" spans="1:7" x14ac:dyDescent="0.25">
      <c r="A1693" t="s">
        <v>3044</v>
      </c>
      <c r="B1693" t="s">
        <v>335</v>
      </c>
      <c r="C1693" t="s">
        <v>271</v>
      </c>
      <c r="D1693" s="85">
        <v>513.96</v>
      </c>
      <c r="E1693" s="85">
        <v>52.44</v>
      </c>
      <c r="F1693" s="85">
        <v>0</v>
      </c>
      <c r="G1693" s="85">
        <v>566.4</v>
      </c>
    </row>
    <row r="1694" spans="1:7" x14ac:dyDescent="0.25">
      <c r="A1694" t="s">
        <v>3045</v>
      </c>
      <c r="B1694" t="s">
        <v>2084</v>
      </c>
      <c r="C1694" t="s">
        <v>283</v>
      </c>
      <c r="D1694" s="85">
        <v>513.96</v>
      </c>
      <c r="E1694" s="85">
        <v>52.44</v>
      </c>
      <c r="F1694" s="85">
        <v>0</v>
      </c>
      <c r="G1694" s="85">
        <v>566.4</v>
      </c>
    </row>
    <row r="1695" spans="1:7" x14ac:dyDescent="0.25">
      <c r="A1695" t="s">
        <v>2132</v>
      </c>
      <c r="B1695" t="s">
        <v>2073</v>
      </c>
      <c r="C1695" t="s">
        <v>271</v>
      </c>
      <c r="D1695" s="85">
        <v>10688.49</v>
      </c>
      <c r="E1695" s="85">
        <v>298.87</v>
      </c>
      <c r="F1695" s="85">
        <v>0</v>
      </c>
      <c r="G1695" s="85">
        <v>10987.36</v>
      </c>
    </row>
    <row r="1696" spans="1:7" x14ac:dyDescent="0.25">
      <c r="A1696" t="s">
        <v>2133</v>
      </c>
      <c r="B1696" t="s">
        <v>2134</v>
      </c>
      <c r="C1696" t="s">
        <v>283</v>
      </c>
      <c r="D1696" s="85">
        <v>9516.9599999999991</v>
      </c>
      <c r="E1696" s="85">
        <v>298.87</v>
      </c>
      <c r="F1696" s="85">
        <v>0</v>
      </c>
      <c r="G1696" s="85">
        <v>9815.83</v>
      </c>
    </row>
    <row r="1697" spans="1:7" x14ac:dyDescent="0.25">
      <c r="A1697" t="s">
        <v>2135</v>
      </c>
      <c r="B1697" t="s">
        <v>2136</v>
      </c>
      <c r="C1697" t="s">
        <v>283</v>
      </c>
      <c r="D1697" s="85">
        <v>1171.53</v>
      </c>
      <c r="E1697" s="85">
        <v>0</v>
      </c>
      <c r="F1697" s="85">
        <v>0</v>
      </c>
      <c r="G1697" s="85">
        <v>1171.53</v>
      </c>
    </row>
    <row r="1698" spans="1:7" x14ac:dyDescent="0.25">
      <c r="A1698" t="s">
        <v>2137</v>
      </c>
      <c r="B1698" t="s">
        <v>2138</v>
      </c>
      <c r="C1698" t="s">
        <v>271</v>
      </c>
      <c r="D1698" s="85">
        <v>11536000.539999999</v>
      </c>
      <c r="E1698" s="85">
        <v>0</v>
      </c>
      <c r="F1698" s="85">
        <v>0</v>
      </c>
      <c r="G1698" s="85">
        <v>11536000.539999999</v>
      </c>
    </row>
    <row r="1699" spans="1:7" x14ac:dyDescent="0.25">
      <c r="A1699" t="s">
        <v>2139</v>
      </c>
      <c r="B1699" t="s">
        <v>2140</v>
      </c>
      <c r="C1699" t="s">
        <v>283</v>
      </c>
      <c r="D1699" s="85">
        <v>11536000.539999999</v>
      </c>
      <c r="E1699" s="85">
        <v>0</v>
      </c>
      <c r="F1699" s="85">
        <v>0</v>
      </c>
      <c r="G1699" s="85">
        <v>11536000.539999999</v>
      </c>
    </row>
    <row r="1700" spans="1:7" x14ac:dyDescent="0.25">
      <c r="A1700" t="s">
        <v>3046</v>
      </c>
      <c r="B1700" t="s">
        <v>3047</v>
      </c>
      <c r="C1700" t="s">
        <v>271</v>
      </c>
      <c r="D1700" s="85">
        <v>-513.96</v>
      </c>
      <c r="E1700" s="85">
        <v>0</v>
      </c>
      <c r="F1700" s="85">
        <v>0</v>
      </c>
      <c r="G1700" s="85">
        <v>-513.96</v>
      </c>
    </row>
    <row r="1701" spans="1:7" x14ac:dyDescent="0.25">
      <c r="A1701" t="s">
        <v>3048</v>
      </c>
      <c r="B1701" t="s">
        <v>581</v>
      </c>
      <c r="C1701" t="s">
        <v>271</v>
      </c>
      <c r="D1701" s="85">
        <v>-513.96</v>
      </c>
      <c r="E1701" s="85">
        <v>0</v>
      </c>
      <c r="F1701" s="85">
        <v>0</v>
      </c>
      <c r="G1701" s="85">
        <v>-513.96</v>
      </c>
    </row>
    <row r="1702" spans="1:7" x14ac:dyDescent="0.25">
      <c r="A1702" t="s">
        <v>3049</v>
      </c>
      <c r="B1702" t="s">
        <v>2089</v>
      </c>
      <c r="C1702" t="s">
        <v>283</v>
      </c>
      <c r="D1702" s="85">
        <v>-513.96</v>
      </c>
      <c r="E1702" s="85">
        <v>0</v>
      </c>
      <c r="F1702" s="85">
        <v>0</v>
      </c>
      <c r="G1702" s="85">
        <v>-513.96</v>
      </c>
    </row>
    <row r="1703" spans="1:7" x14ac:dyDescent="0.25">
      <c r="A1703" t="s">
        <v>2141</v>
      </c>
      <c r="B1703" t="s">
        <v>2091</v>
      </c>
      <c r="C1703" t="s">
        <v>271</v>
      </c>
      <c r="D1703" s="85">
        <v>-10688.49</v>
      </c>
      <c r="E1703" s="85">
        <v>0</v>
      </c>
      <c r="F1703" s="85">
        <v>0</v>
      </c>
      <c r="G1703" s="85">
        <v>-10688.49</v>
      </c>
    </row>
    <row r="1704" spans="1:7" x14ac:dyDescent="0.25">
      <c r="A1704" t="s">
        <v>2142</v>
      </c>
      <c r="B1704" t="s">
        <v>581</v>
      </c>
      <c r="C1704" t="s">
        <v>271</v>
      </c>
      <c r="D1704" s="85">
        <v>-10688.49</v>
      </c>
      <c r="E1704" s="85">
        <v>0</v>
      </c>
      <c r="F1704" s="85">
        <v>0</v>
      </c>
      <c r="G1704" s="85">
        <v>-10688.49</v>
      </c>
    </row>
    <row r="1705" spans="1:7" x14ac:dyDescent="0.25">
      <c r="A1705" t="s">
        <v>2143</v>
      </c>
      <c r="B1705" t="s">
        <v>2089</v>
      </c>
      <c r="C1705" t="s">
        <v>283</v>
      </c>
      <c r="D1705" s="85">
        <v>-10688.49</v>
      </c>
      <c r="E1705" s="85">
        <v>0</v>
      </c>
      <c r="F1705" s="85">
        <v>0</v>
      </c>
      <c r="G1705" s="85">
        <v>-10688.49</v>
      </c>
    </row>
    <row r="1706" spans="1:7" x14ac:dyDescent="0.25">
      <c r="A1706" t="s">
        <v>2144</v>
      </c>
      <c r="B1706" t="s">
        <v>2145</v>
      </c>
      <c r="C1706" t="s">
        <v>271</v>
      </c>
      <c r="D1706" s="85">
        <v>-11536000.539999999</v>
      </c>
      <c r="E1706" s="85">
        <v>0</v>
      </c>
      <c r="F1706" s="85">
        <v>0</v>
      </c>
      <c r="G1706" s="85">
        <v>-11536000.539999999</v>
      </c>
    </row>
    <row r="1707" spans="1:7" x14ac:dyDescent="0.25">
      <c r="A1707" t="s">
        <v>2146</v>
      </c>
      <c r="B1707" t="s">
        <v>581</v>
      </c>
      <c r="C1707" t="s">
        <v>271</v>
      </c>
      <c r="D1707" s="85">
        <v>-11536000.539999999</v>
      </c>
      <c r="E1707" s="85">
        <v>0</v>
      </c>
      <c r="F1707" s="85">
        <v>0</v>
      </c>
      <c r="G1707" s="85">
        <v>-11536000.539999999</v>
      </c>
    </row>
    <row r="1708" spans="1:7" x14ac:dyDescent="0.25">
      <c r="A1708" t="s">
        <v>2147</v>
      </c>
      <c r="B1708" t="s">
        <v>2089</v>
      </c>
      <c r="C1708" t="s">
        <v>283</v>
      </c>
      <c r="D1708" s="85">
        <v>-11536000.539999999</v>
      </c>
      <c r="E1708" s="85">
        <v>0</v>
      </c>
      <c r="F1708" s="85">
        <v>0</v>
      </c>
      <c r="G1708" s="85">
        <v>-11536000.539999999</v>
      </c>
    </row>
    <row r="1709" spans="1:7" x14ac:dyDescent="0.25">
      <c r="A1709" t="s">
        <v>2549</v>
      </c>
      <c r="B1709" t="s">
        <v>2550</v>
      </c>
      <c r="C1709" t="s">
        <v>271</v>
      </c>
      <c r="D1709" s="85">
        <v>-725.02</v>
      </c>
      <c r="E1709" s="85">
        <v>0</v>
      </c>
      <c r="F1709" s="85">
        <v>0</v>
      </c>
      <c r="G1709" s="85">
        <v>-725.02</v>
      </c>
    </row>
    <row r="1710" spans="1:7" x14ac:dyDescent="0.25">
      <c r="A1710" t="s">
        <v>2551</v>
      </c>
      <c r="B1710" t="s">
        <v>581</v>
      </c>
      <c r="C1710" t="s">
        <v>271</v>
      </c>
      <c r="D1710" s="85">
        <v>-725.02</v>
      </c>
      <c r="E1710" s="85">
        <v>0</v>
      </c>
      <c r="F1710" s="85">
        <v>0</v>
      </c>
      <c r="G1710" s="85">
        <v>-725.02</v>
      </c>
    </row>
    <row r="1711" spans="1:7" x14ac:dyDescent="0.25">
      <c r="A1711" t="s">
        <v>2552</v>
      </c>
      <c r="B1711" t="s">
        <v>2089</v>
      </c>
      <c r="C1711" t="s">
        <v>283</v>
      </c>
      <c r="D1711" s="85">
        <v>-725.02</v>
      </c>
      <c r="E1711" s="85">
        <v>0</v>
      </c>
      <c r="F1711" s="85">
        <v>0</v>
      </c>
      <c r="G1711" s="85">
        <v>-725.02</v>
      </c>
    </row>
    <row r="1712" spans="1:7" x14ac:dyDescent="0.25">
      <c r="A1712" t="s">
        <v>2553</v>
      </c>
      <c r="B1712" t="s">
        <v>2126</v>
      </c>
      <c r="C1712" t="s">
        <v>271</v>
      </c>
      <c r="D1712" s="85">
        <v>725.02</v>
      </c>
      <c r="E1712" s="85">
        <v>1811.3</v>
      </c>
      <c r="F1712" s="85">
        <v>0</v>
      </c>
      <c r="G1712" s="85">
        <v>2536.3200000000002</v>
      </c>
    </row>
    <row r="1713" spans="1:7" x14ac:dyDescent="0.25">
      <c r="A1713" t="s">
        <v>2554</v>
      </c>
      <c r="B1713" t="s">
        <v>2126</v>
      </c>
      <c r="C1713" t="s">
        <v>271</v>
      </c>
      <c r="D1713" s="85">
        <v>725.02</v>
      </c>
      <c r="E1713" s="85">
        <v>1811.3</v>
      </c>
      <c r="F1713" s="85">
        <v>0</v>
      </c>
      <c r="G1713" s="85">
        <v>2536.3200000000002</v>
      </c>
    </row>
    <row r="1714" spans="1:7" x14ac:dyDescent="0.25">
      <c r="A1714" t="s">
        <v>2555</v>
      </c>
      <c r="B1714" t="s">
        <v>335</v>
      </c>
      <c r="C1714" t="s">
        <v>271</v>
      </c>
      <c r="D1714" s="85">
        <v>725.02</v>
      </c>
      <c r="E1714" s="85">
        <v>1811.3</v>
      </c>
      <c r="F1714" s="85">
        <v>0</v>
      </c>
      <c r="G1714" s="85">
        <v>2536.3200000000002</v>
      </c>
    </row>
    <row r="1715" spans="1:7" x14ac:dyDescent="0.25">
      <c r="A1715" t="s">
        <v>3050</v>
      </c>
      <c r="B1715" t="s">
        <v>3051</v>
      </c>
      <c r="C1715" t="s">
        <v>283</v>
      </c>
      <c r="D1715" s="85">
        <v>614.33000000000004</v>
      </c>
      <c r="E1715" s="85">
        <v>0</v>
      </c>
      <c r="F1715" s="85">
        <v>0</v>
      </c>
      <c r="G1715" s="85">
        <v>614.33000000000004</v>
      </c>
    </row>
    <row r="1716" spans="1:7" x14ac:dyDescent="0.25">
      <c r="A1716" t="s">
        <v>2556</v>
      </c>
      <c r="B1716" t="s">
        <v>2126</v>
      </c>
      <c r="C1716" t="s">
        <v>283</v>
      </c>
      <c r="D1716" s="85">
        <v>110.69</v>
      </c>
      <c r="E1716" s="85">
        <v>1811.3</v>
      </c>
      <c r="F1716" s="85">
        <v>0</v>
      </c>
      <c r="G1716" s="85">
        <v>1921.99</v>
      </c>
    </row>
    <row r="1717" spans="1:7" x14ac:dyDescent="0.25">
      <c r="A1717" t="s">
        <v>2148</v>
      </c>
      <c r="B1717" t="s">
        <v>2149</v>
      </c>
      <c r="C1717" t="s">
        <v>271</v>
      </c>
      <c r="D1717" s="85">
        <v>-11857273.27</v>
      </c>
      <c r="E1717" s="85">
        <v>1547203.98</v>
      </c>
      <c r="F1717" s="85">
        <v>16338.12</v>
      </c>
      <c r="G1717" s="85">
        <v>-10326407.41</v>
      </c>
    </row>
    <row r="1718" spans="1:7" x14ac:dyDescent="0.25">
      <c r="A1718" t="s">
        <v>2150</v>
      </c>
      <c r="B1718" t="s">
        <v>2151</v>
      </c>
      <c r="C1718" t="s">
        <v>271</v>
      </c>
      <c r="D1718" s="85">
        <v>-321272.73</v>
      </c>
      <c r="E1718" s="85">
        <v>1547203.98</v>
      </c>
      <c r="F1718" s="85">
        <v>16338.12</v>
      </c>
      <c r="G1718" s="85">
        <v>1209593.1299999999</v>
      </c>
    </row>
    <row r="1719" spans="1:7" x14ac:dyDescent="0.25">
      <c r="A1719" t="s">
        <v>2152</v>
      </c>
      <c r="B1719" t="s">
        <v>2151</v>
      </c>
      <c r="C1719" t="s">
        <v>271</v>
      </c>
      <c r="D1719" s="85">
        <v>-321272.73</v>
      </c>
      <c r="E1719" s="85">
        <v>1547203.98</v>
      </c>
      <c r="F1719" s="85">
        <v>16338.12</v>
      </c>
      <c r="G1719" s="85">
        <v>1209593.1299999999</v>
      </c>
    </row>
    <row r="1720" spans="1:7" x14ac:dyDescent="0.25">
      <c r="A1720" t="s">
        <v>2153</v>
      </c>
      <c r="B1720" t="s">
        <v>581</v>
      </c>
      <c r="C1720" t="s">
        <v>271</v>
      </c>
      <c r="D1720" s="85">
        <v>-321272.73</v>
      </c>
      <c r="E1720" s="85">
        <v>1547203.98</v>
      </c>
      <c r="F1720" s="85">
        <v>16338.12</v>
      </c>
      <c r="G1720" s="85">
        <v>1209593.1299999999</v>
      </c>
    </row>
    <row r="1721" spans="1:7" x14ac:dyDescent="0.25">
      <c r="A1721" t="s">
        <v>2154</v>
      </c>
      <c r="B1721" t="s">
        <v>2155</v>
      </c>
      <c r="C1721" t="s">
        <v>271</v>
      </c>
      <c r="D1721" s="85">
        <v>-59713.65</v>
      </c>
      <c r="E1721" s="85">
        <v>179888.53</v>
      </c>
      <c r="F1721" s="85">
        <v>0</v>
      </c>
      <c r="G1721" s="85">
        <v>120174.88</v>
      </c>
    </row>
    <row r="1722" spans="1:7" x14ac:dyDescent="0.25">
      <c r="A1722" t="s">
        <v>2156</v>
      </c>
      <c r="B1722" t="s">
        <v>421</v>
      </c>
      <c r="C1722" t="s">
        <v>283</v>
      </c>
      <c r="D1722" s="85">
        <v>-59713.65</v>
      </c>
      <c r="E1722" s="85">
        <v>179888.53</v>
      </c>
      <c r="F1722" s="85">
        <v>0</v>
      </c>
      <c r="G1722" s="85">
        <v>120174.88</v>
      </c>
    </row>
    <row r="1723" spans="1:7" x14ac:dyDescent="0.25">
      <c r="A1723" t="s">
        <v>2157</v>
      </c>
      <c r="B1723" t="s">
        <v>2158</v>
      </c>
      <c r="C1723" t="s">
        <v>271</v>
      </c>
      <c r="D1723" s="85">
        <v>-261559.08</v>
      </c>
      <c r="E1723" s="85">
        <v>497690.37</v>
      </c>
      <c r="F1723" s="85">
        <v>0</v>
      </c>
      <c r="G1723" s="85">
        <v>236131.29</v>
      </c>
    </row>
    <row r="1724" spans="1:7" x14ac:dyDescent="0.25">
      <c r="A1724" t="s">
        <v>2159</v>
      </c>
      <c r="B1724" t="s">
        <v>415</v>
      </c>
      <c r="C1724" t="s">
        <v>283</v>
      </c>
      <c r="D1724" s="85">
        <v>-261559.08</v>
      </c>
      <c r="E1724" s="85">
        <v>497690.37</v>
      </c>
      <c r="F1724" s="85">
        <v>0</v>
      </c>
      <c r="G1724" s="85">
        <v>236131.29</v>
      </c>
    </row>
    <row r="1725" spans="1:7" x14ac:dyDescent="0.25">
      <c r="A1725" t="s">
        <v>2557</v>
      </c>
      <c r="B1725" t="s">
        <v>2558</v>
      </c>
      <c r="C1725" t="s">
        <v>271</v>
      </c>
      <c r="D1725" s="85">
        <v>0</v>
      </c>
      <c r="E1725" s="85">
        <v>230194.87</v>
      </c>
      <c r="F1725" s="85">
        <v>4324.7700000000004</v>
      </c>
      <c r="G1725" s="85">
        <v>225870.1</v>
      </c>
    </row>
    <row r="1726" spans="1:7" x14ac:dyDescent="0.25">
      <c r="A1726" t="s">
        <v>2559</v>
      </c>
      <c r="B1726" t="s">
        <v>2560</v>
      </c>
      <c r="C1726" t="s">
        <v>283</v>
      </c>
      <c r="D1726" s="85">
        <v>0</v>
      </c>
      <c r="E1726" s="85">
        <v>230194.87</v>
      </c>
      <c r="F1726" s="85">
        <v>4324.7700000000004</v>
      </c>
      <c r="G1726" s="85">
        <v>225870.1</v>
      </c>
    </row>
    <row r="1727" spans="1:7" x14ac:dyDescent="0.25">
      <c r="A1727" t="s">
        <v>2561</v>
      </c>
      <c r="B1727" t="s">
        <v>2562</v>
      </c>
      <c r="C1727" t="s">
        <v>271</v>
      </c>
      <c r="D1727" s="85">
        <v>0</v>
      </c>
      <c r="E1727" s="85">
        <v>639430.21</v>
      </c>
      <c r="F1727" s="85">
        <v>12013.35</v>
      </c>
      <c r="G1727" s="85">
        <v>627416.86</v>
      </c>
    </row>
    <row r="1728" spans="1:7" x14ac:dyDescent="0.25">
      <c r="A1728" t="s">
        <v>2563</v>
      </c>
      <c r="B1728" t="s">
        <v>236</v>
      </c>
      <c r="C1728" t="s">
        <v>283</v>
      </c>
      <c r="D1728" s="85">
        <v>0</v>
      </c>
      <c r="E1728" s="85">
        <v>639430.21</v>
      </c>
      <c r="F1728" s="85">
        <v>12013.35</v>
      </c>
      <c r="G1728" s="85">
        <v>627416.86</v>
      </c>
    </row>
    <row r="1729" spans="1:7" x14ac:dyDescent="0.25">
      <c r="A1729" t="s">
        <v>2160</v>
      </c>
      <c r="B1729" t="s">
        <v>2161</v>
      </c>
      <c r="C1729" t="s">
        <v>271</v>
      </c>
      <c r="D1729" s="85">
        <v>-11536000.539999999</v>
      </c>
      <c r="E1729" s="85">
        <v>0</v>
      </c>
      <c r="F1729" s="85">
        <v>0</v>
      </c>
      <c r="G1729" s="85">
        <v>-11536000.539999999</v>
      </c>
    </row>
    <row r="1730" spans="1:7" x14ac:dyDescent="0.25">
      <c r="A1730" t="s">
        <v>2162</v>
      </c>
      <c r="B1730" t="s">
        <v>2161</v>
      </c>
      <c r="C1730" t="s">
        <v>271</v>
      </c>
      <c r="D1730" s="85">
        <v>-11536000.539999999</v>
      </c>
      <c r="E1730" s="85">
        <v>0</v>
      </c>
      <c r="F1730" s="85">
        <v>0</v>
      </c>
      <c r="G1730" s="85">
        <v>-11536000.539999999</v>
      </c>
    </row>
    <row r="1731" spans="1:7" x14ac:dyDescent="0.25">
      <c r="A1731" t="s">
        <v>2163</v>
      </c>
      <c r="B1731" t="s">
        <v>581</v>
      </c>
      <c r="C1731" t="s">
        <v>271</v>
      </c>
      <c r="D1731" s="85">
        <v>-11536000.539999999</v>
      </c>
      <c r="E1731" s="85">
        <v>0</v>
      </c>
      <c r="F1731" s="85">
        <v>0</v>
      </c>
      <c r="G1731" s="85">
        <v>-11536000.539999999</v>
      </c>
    </row>
    <row r="1732" spans="1:7" x14ac:dyDescent="0.25">
      <c r="A1732" t="s">
        <v>2164</v>
      </c>
      <c r="B1732" t="s">
        <v>2165</v>
      </c>
      <c r="C1732" t="s">
        <v>271</v>
      </c>
      <c r="D1732" s="85">
        <v>-11536000.539999999</v>
      </c>
      <c r="E1732" s="85">
        <v>0</v>
      </c>
      <c r="F1732" s="85">
        <v>0</v>
      </c>
      <c r="G1732" s="85">
        <v>-11536000.539999999</v>
      </c>
    </row>
    <row r="1733" spans="1:7" x14ac:dyDescent="0.25">
      <c r="A1733" t="s">
        <v>2166</v>
      </c>
      <c r="B1733" t="s">
        <v>2165</v>
      </c>
      <c r="C1733" t="s">
        <v>283</v>
      </c>
      <c r="D1733" s="85">
        <v>-11536000.539999999</v>
      </c>
      <c r="E1733" s="85">
        <v>0</v>
      </c>
      <c r="F1733" s="85">
        <v>0</v>
      </c>
      <c r="G1733" s="85">
        <v>-11536000.539999999</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P63"/>
  <sheetViews>
    <sheetView zoomScaleNormal="100" workbookViewId="0">
      <selection sqref="A1:G55"/>
    </sheetView>
  </sheetViews>
  <sheetFormatPr defaultRowHeight="15" x14ac:dyDescent="0.25"/>
  <cols>
    <col min="1" max="1" width="67.42578125" customWidth="1"/>
    <col min="2" max="2" width="14" customWidth="1"/>
    <col min="3" max="3" width="12.5703125" bestFit="1" customWidth="1"/>
    <col min="4" max="4" width="13.42578125" bestFit="1" customWidth="1"/>
    <col min="5" max="5" width="21.5703125" bestFit="1" customWidth="1"/>
    <col min="6" max="6" width="16.28515625" bestFit="1" customWidth="1"/>
    <col min="7" max="7" width="7.85546875" customWidth="1"/>
    <col min="11" max="11" width="13.5703125" style="85" bestFit="1" customWidth="1"/>
  </cols>
  <sheetData>
    <row r="1" spans="1:10" x14ac:dyDescent="0.25">
      <c r="A1" s="1" t="s">
        <v>259</v>
      </c>
    </row>
    <row r="2" spans="1:10" x14ac:dyDescent="0.25">
      <c r="A2" s="1" t="s">
        <v>2747</v>
      </c>
    </row>
    <row r="3" spans="1:10" x14ac:dyDescent="0.25">
      <c r="A3" s="1" t="s">
        <v>0</v>
      </c>
    </row>
    <row r="4" spans="1:10" x14ac:dyDescent="0.25">
      <c r="A4" s="2"/>
    </row>
    <row r="5" spans="1:10" x14ac:dyDescent="0.25">
      <c r="A5" s="2"/>
    </row>
    <row r="6" spans="1:10" ht="15.75" thickBot="1" x14ac:dyDescent="0.3">
      <c r="A6" s="2"/>
      <c r="C6" s="644" t="s">
        <v>15</v>
      </c>
      <c r="D6" s="644"/>
    </row>
    <row r="7" spans="1:10" ht="15.75" thickBot="1" x14ac:dyDescent="0.3">
      <c r="A7" s="146" t="s">
        <v>3</v>
      </c>
      <c r="B7" s="439" t="s">
        <v>37</v>
      </c>
      <c r="C7" s="439" t="s">
        <v>38</v>
      </c>
      <c r="D7" s="439" t="s">
        <v>39</v>
      </c>
      <c r="E7" s="439" t="s">
        <v>2741</v>
      </c>
      <c r="F7" s="439" t="s">
        <v>40</v>
      </c>
      <c r="G7" s="439" t="s">
        <v>41</v>
      </c>
    </row>
    <row r="8" spans="1:10" ht="15.75" thickBot="1" x14ac:dyDescent="0.3">
      <c r="A8" s="4"/>
      <c r="B8" s="4"/>
      <c r="C8" s="11"/>
      <c r="D8" s="7"/>
    </row>
    <row r="9" spans="1:10" ht="15.75" hidden="1" thickBot="1" x14ac:dyDescent="0.3">
      <c r="A9" s="4" t="s">
        <v>43</v>
      </c>
      <c r="B9" s="60">
        <v>247250</v>
      </c>
      <c r="C9" s="60">
        <v>7338</v>
      </c>
      <c r="D9" s="60">
        <v>34147</v>
      </c>
      <c r="E9" s="81">
        <v>8855</v>
      </c>
      <c r="F9" s="82" t="s">
        <v>4</v>
      </c>
      <c r="G9" s="60">
        <v>297590</v>
      </c>
    </row>
    <row r="10" spans="1:10" ht="15.75" hidden="1" thickBot="1" x14ac:dyDescent="0.3">
      <c r="A10" s="4" t="s">
        <v>3</v>
      </c>
      <c r="B10" s="110"/>
      <c r="C10" s="18"/>
      <c r="D10" s="18"/>
      <c r="E10" s="26"/>
      <c r="F10" s="18"/>
      <c r="G10" s="18"/>
    </row>
    <row r="11" spans="1:10" ht="15.75" hidden="1" thickBot="1" x14ac:dyDescent="0.3">
      <c r="A11" s="4" t="s">
        <v>253</v>
      </c>
      <c r="B11" s="110" t="s">
        <v>4</v>
      </c>
      <c r="C11" s="18" t="s">
        <v>4</v>
      </c>
      <c r="D11" s="7">
        <v>-4416</v>
      </c>
      <c r="E11" s="26" t="s">
        <v>4</v>
      </c>
      <c r="F11" s="18" t="s">
        <v>4</v>
      </c>
      <c r="G11" s="7">
        <v>-4416</v>
      </c>
    </row>
    <row r="12" spans="1:10" ht="15.75" hidden="1" thickBot="1" x14ac:dyDescent="0.3">
      <c r="A12" s="4" t="s">
        <v>26</v>
      </c>
      <c r="B12" s="110" t="s">
        <v>4</v>
      </c>
      <c r="C12" s="18" t="s">
        <v>4</v>
      </c>
      <c r="D12" s="18" t="s">
        <v>4</v>
      </c>
      <c r="E12" s="26" t="s">
        <v>4</v>
      </c>
      <c r="F12" s="7">
        <v>44808</v>
      </c>
      <c r="G12" s="7">
        <v>44808</v>
      </c>
    </row>
    <row r="13" spans="1:10" ht="15.75" hidden="1" thickBot="1" x14ac:dyDescent="0.3">
      <c r="A13" s="4" t="s">
        <v>44</v>
      </c>
      <c r="B13" s="110"/>
      <c r="C13" s="18"/>
      <c r="D13" s="18"/>
      <c r="E13" s="26"/>
      <c r="F13" s="18"/>
      <c r="G13" s="18"/>
    </row>
    <row r="14" spans="1:10" ht="15.75" hidden="1" thickBot="1" x14ac:dyDescent="0.3">
      <c r="A14" s="4" t="s">
        <v>254</v>
      </c>
      <c r="B14" s="110" t="s">
        <v>4</v>
      </c>
      <c r="C14" s="7">
        <v>2240</v>
      </c>
      <c r="D14" s="18" t="s">
        <v>4</v>
      </c>
      <c r="E14" s="26" t="s">
        <v>4</v>
      </c>
      <c r="F14" s="7">
        <v>-2240</v>
      </c>
      <c r="G14" s="18" t="s">
        <v>4</v>
      </c>
      <c r="J14" s="5"/>
    </row>
    <row r="15" spans="1:10" ht="15.75" hidden="1" thickBot="1" x14ac:dyDescent="0.3">
      <c r="A15" s="4" t="s">
        <v>2739</v>
      </c>
      <c r="B15" s="110" t="s">
        <v>4</v>
      </c>
      <c r="C15" s="18" t="s">
        <v>4</v>
      </c>
      <c r="D15" s="18" t="s">
        <v>4</v>
      </c>
      <c r="E15" s="6">
        <v>-8855</v>
      </c>
      <c r="F15" s="7">
        <v>-1787</v>
      </c>
      <c r="G15" s="7">
        <v>-10642</v>
      </c>
      <c r="J15" s="122"/>
    </row>
    <row r="16" spans="1:10" ht="15.75" hidden="1" thickBot="1" x14ac:dyDescent="0.3">
      <c r="A16" s="4" t="s">
        <v>255</v>
      </c>
      <c r="B16" s="110"/>
      <c r="C16" s="18"/>
      <c r="D16" s="18" t="s">
        <v>4</v>
      </c>
      <c r="E16" s="26" t="s">
        <v>4</v>
      </c>
      <c r="F16" s="7">
        <v>-10642</v>
      </c>
      <c r="G16" s="7">
        <v>-10642</v>
      </c>
      <c r="J16" s="5"/>
    </row>
    <row r="17" spans="1:15" ht="15.75" hidden="1" thickBot="1" x14ac:dyDescent="0.3">
      <c r="A17" s="4" t="s">
        <v>256</v>
      </c>
      <c r="B17" s="110" t="s">
        <v>4</v>
      </c>
      <c r="C17" s="18" t="s">
        <v>4</v>
      </c>
      <c r="D17" s="7">
        <v>30139</v>
      </c>
      <c r="E17" s="26" t="s">
        <v>4</v>
      </c>
      <c r="F17" s="7">
        <v>-30139</v>
      </c>
      <c r="G17" s="18" t="s">
        <v>4</v>
      </c>
    </row>
    <row r="18" spans="1:15" ht="15.75" hidden="1" thickBot="1" x14ac:dyDescent="0.3">
      <c r="A18" s="4" t="s">
        <v>257</v>
      </c>
      <c r="B18" s="110" t="s">
        <v>4</v>
      </c>
      <c r="C18" s="18" t="s">
        <v>4</v>
      </c>
      <c r="D18" s="18">
        <v>490</v>
      </c>
      <c r="E18" s="26" t="s">
        <v>4</v>
      </c>
      <c r="F18" s="18">
        <v>490</v>
      </c>
      <c r="G18" s="18">
        <v>490</v>
      </c>
    </row>
    <row r="19" spans="1:15" ht="15.75" hidden="1" thickBot="1" x14ac:dyDescent="0.3">
      <c r="A19" s="146" t="s">
        <v>3</v>
      </c>
      <c r="B19" s="59"/>
      <c r="C19" s="8"/>
      <c r="D19" s="8"/>
      <c r="E19" s="80"/>
      <c r="F19" s="8"/>
      <c r="G19" s="8"/>
    </row>
    <row r="20" spans="1:15" ht="15.75" thickBot="1" x14ac:dyDescent="0.3">
      <c r="A20" s="4" t="s">
        <v>42</v>
      </c>
      <c r="B20" s="61">
        <v>247250</v>
      </c>
      <c r="C20" s="61">
        <v>9578</v>
      </c>
      <c r="D20" s="61">
        <v>60362</v>
      </c>
      <c r="E20" s="83" t="s">
        <v>4</v>
      </c>
      <c r="F20" s="84" t="s">
        <v>4</v>
      </c>
      <c r="G20" s="61">
        <v>317190</v>
      </c>
    </row>
    <row r="21" spans="1:15" ht="15.75" thickTop="1" x14ac:dyDescent="0.25">
      <c r="A21" s="146"/>
      <c r="B21" s="4"/>
      <c r="C21" s="7"/>
      <c r="D21" s="7"/>
      <c r="K21" s="173" t="s">
        <v>2701</v>
      </c>
      <c r="L21" s="100"/>
      <c r="M21" s="100"/>
      <c r="N21" s="100"/>
      <c r="O21" s="100"/>
    </row>
    <row r="22" spans="1:15" x14ac:dyDescent="0.25">
      <c r="A22" s="4" t="s">
        <v>253</v>
      </c>
      <c r="B22" s="110" t="s">
        <v>4</v>
      </c>
      <c r="C22" s="110" t="s">
        <v>4</v>
      </c>
      <c r="D22" s="90">
        <f>-44265-1030</f>
        <v>-45295</v>
      </c>
      <c r="E22" s="299" t="s">
        <v>4</v>
      </c>
      <c r="F22" s="18" t="s">
        <v>4</v>
      </c>
      <c r="G22" s="7">
        <f>SUM(B22:F22)</f>
        <v>-45295</v>
      </c>
      <c r="K22" s="85">
        <v>16435970.390000001</v>
      </c>
    </row>
    <row r="23" spans="1:15" x14ac:dyDescent="0.25">
      <c r="A23" s="4" t="s">
        <v>26</v>
      </c>
      <c r="B23" s="110" t="s">
        <v>4</v>
      </c>
      <c r="C23" s="110" t="s">
        <v>4</v>
      </c>
      <c r="D23" s="18"/>
      <c r="E23" s="26" t="s">
        <v>4</v>
      </c>
      <c r="F23" s="7">
        <f>DRE!E31</f>
        <v>30545.605269999993</v>
      </c>
      <c r="G23" s="7">
        <f t="shared" ref="G23:G29" si="0">SUM(B23:F23)</f>
        <v>30545.605269999993</v>
      </c>
      <c r="K23" s="85">
        <v>17710026.75</v>
      </c>
    </row>
    <row r="24" spans="1:15" x14ac:dyDescent="0.25">
      <c r="A24" s="4" t="s">
        <v>44</v>
      </c>
      <c r="B24" s="110"/>
      <c r="C24" s="110"/>
      <c r="D24" s="18"/>
      <c r="E24" s="26" t="s">
        <v>4</v>
      </c>
      <c r="F24" s="18"/>
      <c r="G24" s="7">
        <f t="shared" si="0"/>
        <v>0</v>
      </c>
    </row>
    <row r="25" spans="1:15" x14ac:dyDescent="0.25">
      <c r="A25" s="4" t="s">
        <v>254</v>
      </c>
      <c r="B25" s="110" t="s">
        <v>4</v>
      </c>
      <c r="C25" s="7">
        <f>-F25</f>
        <v>1631</v>
      </c>
      <c r="D25" s="18" t="s">
        <v>4</v>
      </c>
      <c r="E25" s="26" t="s">
        <v>4</v>
      </c>
      <c r="F25" s="7">
        <v>-1631</v>
      </c>
      <c r="G25" s="7">
        <f t="shared" si="0"/>
        <v>0</v>
      </c>
      <c r="K25" s="85">
        <v>3836225.28</v>
      </c>
    </row>
    <row r="26" spans="1:15" x14ac:dyDescent="0.25">
      <c r="A26" s="4" t="s">
        <v>2739</v>
      </c>
      <c r="B26" s="110" t="s">
        <v>4</v>
      </c>
      <c r="C26" s="110" t="s">
        <v>4</v>
      </c>
      <c r="D26" s="18" t="s">
        <v>4</v>
      </c>
      <c r="E26" s="7">
        <f>SUM(K42)/1000</f>
        <v>2796.9373599999999</v>
      </c>
      <c r="F26" s="7">
        <f>-SUM(F23+F25)*25%</f>
        <v>-7228.6513174999982</v>
      </c>
      <c r="G26" s="7">
        <f t="shared" si="0"/>
        <v>-4431.7139574999983</v>
      </c>
      <c r="K26" s="85">
        <v>1112395.57</v>
      </c>
    </row>
    <row r="27" spans="1:15" x14ac:dyDescent="0.25">
      <c r="A27" s="4" t="s">
        <v>255</v>
      </c>
      <c r="B27" s="110"/>
      <c r="C27" s="110"/>
      <c r="D27" s="7" t="s">
        <v>4</v>
      </c>
      <c r="E27" s="26" t="s">
        <v>4</v>
      </c>
      <c r="F27" s="7">
        <f>F26</f>
        <v>-7228.6513174999982</v>
      </c>
      <c r="G27" s="7">
        <f t="shared" si="0"/>
        <v>-7228.6513174999982</v>
      </c>
      <c r="I27" s="5" t="e">
        <f>SUM(D31-D32)</f>
        <v>#REF!</v>
      </c>
    </row>
    <row r="28" spans="1:15" x14ac:dyDescent="0.25">
      <c r="A28" s="4" t="s">
        <v>256</v>
      </c>
      <c r="B28" s="110" t="s">
        <v>4</v>
      </c>
      <c r="C28" s="110" t="s">
        <v>4</v>
      </c>
      <c r="D28" s="7">
        <f>-F28</f>
        <v>14457.302634999995</v>
      </c>
      <c r="E28" s="26" t="s">
        <v>4</v>
      </c>
      <c r="F28" s="7">
        <f>-SUM(F23:F27)</f>
        <v>-14457.302634999995</v>
      </c>
      <c r="G28" s="7">
        <f t="shared" si="0"/>
        <v>0</v>
      </c>
      <c r="K28" s="126">
        <v>10115785.449999999</v>
      </c>
    </row>
    <row r="29" spans="1:15" x14ac:dyDescent="0.25">
      <c r="A29" s="4" t="s">
        <v>257</v>
      </c>
      <c r="B29" s="110" t="s">
        <v>4</v>
      </c>
      <c r="C29" s="110" t="s">
        <v>4</v>
      </c>
      <c r="D29" s="7">
        <f>-37640.25/1000+29</f>
        <v>-8.6402500000000018</v>
      </c>
      <c r="E29" s="26" t="s">
        <v>4</v>
      </c>
      <c r="F29" s="18" t="s">
        <v>4</v>
      </c>
      <c r="G29" s="7">
        <f t="shared" si="0"/>
        <v>-8.6402500000000018</v>
      </c>
    </row>
    <row r="30" spans="1:15" ht="15.75" thickBot="1" x14ac:dyDescent="0.3">
      <c r="A30" s="146" t="s">
        <v>3</v>
      </c>
      <c r="B30" s="59"/>
      <c r="C30" s="8"/>
      <c r="D30" s="8"/>
      <c r="E30" s="80"/>
      <c r="F30" s="8"/>
      <c r="G30" s="8"/>
      <c r="I30" s="5"/>
      <c r="K30" s="127">
        <f>SUM(K22:K28)</f>
        <v>49210403.439999998</v>
      </c>
    </row>
    <row r="31" spans="1:15" ht="15.75" thickBot="1" x14ac:dyDescent="0.3">
      <c r="A31" s="4" t="s">
        <v>2742</v>
      </c>
      <c r="B31" s="61">
        <f>SUM(B20)</f>
        <v>247250</v>
      </c>
      <c r="C31" s="61">
        <f>SUM(C20+C25)</f>
        <v>11209</v>
      </c>
      <c r="D31" s="61">
        <f>SUM(D20:D30)-1</f>
        <v>29514.662384999992</v>
      </c>
      <c r="E31" s="123">
        <f>SUM(E20:E29)</f>
        <v>2796.9373599999999</v>
      </c>
      <c r="F31" s="61">
        <f>SUM(F22:F29)</f>
        <v>0</v>
      </c>
      <c r="G31" s="61">
        <f>SUM(B31:F31)</f>
        <v>290770.59974499996</v>
      </c>
      <c r="I31" s="5"/>
      <c r="K31" s="128">
        <v>-7745558.21</v>
      </c>
    </row>
    <row r="32" spans="1:15" ht="15.75" thickTop="1" x14ac:dyDescent="0.25">
      <c r="A32" s="452" t="s">
        <v>2178</v>
      </c>
      <c r="B32" s="449" t="e">
        <f>#REF!</f>
        <v>#REF!</v>
      </c>
      <c r="C32" s="449" t="e">
        <f>#REF!</f>
        <v>#REF!</v>
      </c>
      <c r="D32" s="449" t="e">
        <f>#REF!</f>
        <v>#REF!</v>
      </c>
      <c r="E32" s="449" t="e">
        <f>#REF!</f>
        <v>#REF!</v>
      </c>
      <c r="F32" s="450"/>
      <c r="G32" s="451" t="e">
        <f>#REF!</f>
        <v>#REF!</v>
      </c>
      <c r="K32" s="85">
        <f>SUM(K30:K31)</f>
        <v>41464845.229999997</v>
      </c>
    </row>
    <row r="33" spans="1:16" x14ac:dyDescent="0.25">
      <c r="A33" s="4" t="s">
        <v>2702</v>
      </c>
      <c r="B33" s="7">
        <f>SUM([1]Sheet1!$O$8:$P$8)/1000</f>
        <v>7181.2559199999996</v>
      </c>
      <c r="C33" s="99" t="s">
        <v>4</v>
      </c>
      <c r="D33" s="90">
        <f>-[1]Sheet1!$N$83/1000</f>
        <v>-7181.2559199999996</v>
      </c>
      <c r="E33" s="99" t="s">
        <v>4</v>
      </c>
      <c r="F33" s="99" t="s">
        <v>4</v>
      </c>
      <c r="G33" s="99" t="s">
        <v>4</v>
      </c>
      <c r="K33" s="126">
        <f>K42</f>
        <v>2796937.36</v>
      </c>
    </row>
    <row r="34" spans="1:16" x14ac:dyDescent="0.25">
      <c r="A34" s="4" t="str">
        <f>A45</f>
        <v>Juros Sobre Capital Próprio Dividendos relativos a resultados acumulados</v>
      </c>
      <c r="B34" s="110" t="s">
        <v>4</v>
      </c>
      <c r="C34" s="110" t="s">
        <v>4</v>
      </c>
      <c r="D34" s="90">
        <f>-SUM(K38+K39)/1000+1946-2067</f>
        <v>-15896.366649999998</v>
      </c>
      <c r="E34" s="90">
        <f>-E31</f>
        <v>-2796.9373599999999</v>
      </c>
      <c r="F34" s="18" t="s">
        <v>4</v>
      </c>
      <c r="G34" s="90">
        <f>SUM(B34:F34)</f>
        <v>-18693.30401</v>
      </c>
      <c r="K34" s="85">
        <f>SUM(K32:K33)</f>
        <v>44261782.589999996</v>
      </c>
    </row>
    <row r="35" spans="1:16" x14ac:dyDescent="0.25">
      <c r="A35" s="4" t="s">
        <v>26</v>
      </c>
      <c r="B35" s="110" t="s">
        <v>4</v>
      </c>
      <c r="C35" s="110" t="s">
        <v>4</v>
      </c>
      <c r="D35" s="18" t="s">
        <v>4</v>
      </c>
      <c r="E35" s="26" t="s">
        <v>4</v>
      </c>
      <c r="F35" s="7">
        <f>DRE!D31</f>
        <v>40106.396420000019</v>
      </c>
      <c r="G35" s="7">
        <f t="shared" ref="G35:G39" si="1">SUM(B35:F35)</f>
        <v>40106.396420000019</v>
      </c>
      <c r="K35" s="172"/>
    </row>
    <row r="36" spans="1:16" x14ac:dyDescent="0.25">
      <c r="A36" s="4" t="s">
        <v>44</v>
      </c>
      <c r="B36" s="110"/>
      <c r="C36" s="110"/>
      <c r="D36" s="18"/>
      <c r="E36" s="26" t="s">
        <v>4</v>
      </c>
      <c r="F36" s="18"/>
      <c r="G36" s="7" t="s">
        <v>4</v>
      </c>
    </row>
    <row r="37" spans="1:16" x14ac:dyDescent="0.25">
      <c r="A37" s="4" t="s">
        <v>254</v>
      </c>
      <c r="B37" s="110" t="s">
        <v>4</v>
      </c>
      <c r="C37" s="7">
        <v>2017</v>
      </c>
      <c r="D37" s="18" t="s">
        <v>4</v>
      </c>
      <c r="E37" s="26" t="s">
        <v>4</v>
      </c>
      <c r="F37" s="90">
        <f>-C37</f>
        <v>-2017</v>
      </c>
      <c r="G37" s="7" t="s">
        <v>4</v>
      </c>
      <c r="K37" s="174" t="str">
        <f>K21</f>
        <v>Composição Dividendos relativos a resultados acumulados</v>
      </c>
      <c r="L37" s="100"/>
      <c r="M37" s="100"/>
      <c r="N37" s="100"/>
      <c r="O37" s="100"/>
      <c r="P37" s="100"/>
    </row>
    <row r="38" spans="1:16" x14ac:dyDescent="0.25">
      <c r="A38" s="4" t="s">
        <v>2739</v>
      </c>
      <c r="B38" s="110" t="s">
        <v>4</v>
      </c>
      <c r="C38" s="110" t="s">
        <v>4</v>
      </c>
      <c r="D38" s="18" t="s">
        <v>4</v>
      </c>
      <c r="E38" s="6" t="s">
        <v>4</v>
      </c>
      <c r="F38" s="90">
        <f>-SUM(F35+F37)*25%</f>
        <v>-9522.3491050000048</v>
      </c>
      <c r="G38" s="90">
        <f t="shared" si="1"/>
        <v>-9522.3491050000048</v>
      </c>
      <c r="I38" s="5" t="e">
        <f>C43-C32</f>
        <v>#REF!</v>
      </c>
      <c r="K38" s="85">
        <f>SUM([1]Sheet1!$N$137)</f>
        <v>5387928.3600000003</v>
      </c>
      <c r="L38" t="s">
        <v>2703</v>
      </c>
    </row>
    <row r="39" spans="1:16" x14ac:dyDescent="0.25">
      <c r="A39" s="4" t="s">
        <v>255</v>
      </c>
      <c r="B39" s="110" t="s">
        <v>4</v>
      </c>
      <c r="C39" s="110" t="s">
        <v>4</v>
      </c>
      <c r="D39" s="7" t="s">
        <v>4</v>
      </c>
      <c r="E39" s="7">
        <f>-SUM(K44)/1000</f>
        <v>5299.3445000000002</v>
      </c>
      <c r="F39" s="90">
        <f>F38</f>
        <v>-9522.3491050000048</v>
      </c>
      <c r="G39" s="90">
        <f t="shared" si="1"/>
        <v>-4223.0046050000046</v>
      </c>
      <c r="K39" s="126">
        <f>SUM([1]Sheet1!$N$88)</f>
        <v>10387438.289999999</v>
      </c>
      <c r="L39" t="s">
        <v>2704</v>
      </c>
    </row>
    <row r="40" spans="1:16" x14ac:dyDescent="0.25">
      <c r="A40" s="4" t="s">
        <v>256</v>
      </c>
      <c r="B40" s="110" t="s">
        <v>4</v>
      </c>
      <c r="C40" s="110" t="s">
        <v>4</v>
      </c>
      <c r="D40" s="7">
        <f>-F40</f>
        <v>19044.69821000001</v>
      </c>
      <c r="E40" s="26" t="s">
        <v>4</v>
      </c>
      <c r="F40" s="90">
        <f>-SUM(F35:F39)</f>
        <v>-19044.69821000001</v>
      </c>
      <c r="G40" s="7" t="s">
        <v>4</v>
      </c>
      <c r="I40" s="5" t="e">
        <f>D43-D42</f>
        <v>#REF!</v>
      </c>
      <c r="K40" s="85">
        <f>SUM(K38:K39)</f>
        <v>15775366.649999999</v>
      </c>
    </row>
    <row r="41" spans="1:16" ht="15.75" thickBot="1" x14ac:dyDescent="0.3">
      <c r="A41" s="4" t="s">
        <v>257</v>
      </c>
      <c r="B41" s="110" t="s">
        <v>4</v>
      </c>
      <c r="C41" s="110" t="s">
        <v>4</v>
      </c>
      <c r="D41" s="7">
        <v>0</v>
      </c>
      <c r="E41" s="26" t="s">
        <v>4</v>
      </c>
      <c r="F41" s="18" t="s">
        <v>4</v>
      </c>
      <c r="G41" s="7" t="s">
        <v>4</v>
      </c>
    </row>
    <row r="42" spans="1:16" ht="15.75" thickBot="1" x14ac:dyDescent="0.3">
      <c r="A42" s="4" t="s">
        <v>4968</v>
      </c>
      <c r="B42" s="175">
        <f>SUM(B31+B33)</f>
        <v>254431.25592</v>
      </c>
      <c r="C42" s="175">
        <f>SUM(C31+C37)</f>
        <v>13226</v>
      </c>
      <c r="D42" s="175">
        <f>SUM(D31,D33,D34,D40)+2-1</f>
        <v>25482.738025000006</v>
      </c>
      <c r="E42" s="176">
        <f>SUM(E31,E34,E39)</f>
        <v>5299.3445000000002</v>
      </c>
      <c r="F42" s="175" t="s">
        <v>4</v>
      </c>
      <c r="G42" s="317">
        <f>SUM(G31+G34+G35+G38+G39)+1</f>
        <v>298439.33844499988</v>
      </c>
      <c r="K42" s="128">
        <f>SUM([1]Sheet1!$N$170)</f>
        <v>2796937.36</v>
      </c>
      <c r="L42" t="s">
        <v>2743</v>
      </c>
    </row>
    <row r="43" spans="1:16" ht="15.75" thickTop="1" x14ac:dyDescent="0.25">
      <c r="A43" s="452" t="str">
        <f>A32</f>
        <v>CHECK BALANÇO</v>
      </c>
      <c r="B43" s="449" t="e">
        <f>#REF!</f>
        <v>#REF!</v>
      </c>
      <c r="C43" s="449" t="e">
        <f>#REF!</f>
        <v>#REF!</v>
      </c>
      <c r="D43" s="449" t="e">
        <f>#REF!</f>
        <v>#REF!</v>
      </c>
      <c r="E43" s="449" t="e">
        <f>#REF!</f>
        <v>#REF!</v>
      </c>
      <c r="F43" s="450"/>
      <c r="G43" s="451" t="e">
        <f>#REF!</f>
        <v>#REF!</v>
      </c>
      <c r="I43" s="5"/>
    </row>
    <row r="44" spans="1:16" x14ac:dyDescent="0.25">
      <c r="A44" t="s">
        <v>2702</v>
      </c>
      <c r="B44" s="110" t="s">
        <v>4</v>
      </c>
      <c r="C44" s="99" t="s">
        <v>4</v>
      </c>
      <c r="D44" s="99" t="s">
        <v>4</v>
      </c>
      <c r="E44" s="99" t="s">
        <v>4</v>
      </c>
      <c r="F44" s="99" t="s">
        <v>4</v>
      </c>
      <c r="G44" s="99" t="s">
        <v>4</v>
      </c>
      <c r="J44" s="5"/>
      <c r="K44" s="128">
        <v>-5299344.5</v>
      </c>
      <c r="L44" t="s">
        <v>2705</v>
      </c>
    </row>
    <row r="45" spans="1:16" x14ac:dyDescent="0.25">
      <c r="A45" t="s">
        <v>3064</v>
      </c>
      <c r="B45" s="99" t="s">
        <v>4</v>
      </c>
      <c r="C45" s="99" t="s">
        <v>4</v>
      </c>
      <c r="D45" s="90">
        <f>-SUM(K52)/1000+1</f>
        <v>-9622.9179000000004</v>
      </c>
      <c r="E45" s="90">
        <f>-SUM([2]Sheet1!$N$101)/1000</f>
        <v>-5299.3445000000002</v>
      </c>
      <c r="F45" s="99" t="s">
        <v>4</v>
      </c>
      <c r="G45" s="90">
        <f>SUM(B45:F45)</f>
        <v>-14922.2624</v>
      </c>
      <c r="K45" s="174">
        <f>SUM(K43:K44)</f>
        <v>-5299344.5</v>
      </c>
    </row>
    <row r="46" spans="1:16" x14ac:dyDescent="0.25">
      <c r="A46" t="s">
        <v>26</v>
      </c>
      <c r="B46" s="99" t="s">
        <v>4</v>
      </c>
      <c r="C46" s="99" t="s">
        <v>4</v>
      </c>
      <c r="D46" s="99" t="s">
        <v>4</v>
      </c>
      <c r="E46" s="99" t="s">
        <v>4</v>
      </c>
      <c r="F46" s="92">
        <f>SUM(DRE!C31)</f>
        <v>30486.861270000005</v>
      </c>
      <c r="G46" s="92">
        <f t="shared" ref="G46:G52" si="2">SUM(B46:F46)</f>
        <v>30486.861270000005</v>
      </c>
    </row>
    <row r="47" spans="1:16" x14ac:dyDescent="0.25">
      <c r="A47" t="s">
        <v>44</v>
      </c>
      <c r="B47" s="99"/>
      <c r="C47" s="99"/>
      <c r="D47" s="99"/>
      <c r="E47" s="99" t="s">
        <v>4</v>
      </c>
      <c r="F47" s="99"/>
      <c r="G47" s="51"/>
    </row>
    <row r="48" spans="1:16" x14ac:dyDescent="0.25">
      <c r="A48" t="s">
        <v>254</v>
      </c>
      <c r="B48" s="99" t="s">
        <v>4</v>
      </c>
      <c r="C48" s="92">
        <f>-F48</f>
        <v>1524.3430635000004</v>
      </c>
      <c r="D48" s="99" t="s">
        <v>4</v>
      </c>
      <c r="E48" s="99" t="s">
        <v>4</v>
      </c>
      <c r="F48" s="90">
        <f>-SUM(F46*5%)</f>
        <v>-1524.3430635000004</v>
      </c>
      <c r="G48" s="99" t="s">
        <v>4</v>
      </c>
      <c r="K48" s="315" t="str">
        <f>K37</f>
        <v>Composição Dividendos relativos a resultados acumulados</v>
      </c>
      <c r="L48" s="316"/>
      <c r="M48" s="316"/>
      <c r="N48" s="316"/>
      <c r="O48" s="316"/>
      <c r="P48" s="316"/>
    </row>
    <row r="49" spans="1:12" x14ac:dyDescent="0.25">
      <c r="A49" t="s">
        <v>2739</v>
      </c>
      <c r="B49" s="99" t="s">
        <v>4</v>
      </c>
      <c r="C49" s="99" t="s">
        <v>4</v>
      </c>
      <c r="D49" s="99" t="s">
        <v>4</v>
      </c>
      <c r="E49" s="92">
        <f>K56/1000</f>
        <v>3618.9558299999994</v>
      </c>
      <c r="F49" s="90">
        <f>-SUM(F46+F48)*25%</f>
        <v>-7240.6295516250011</v>
      </c>
      <c r="G49" s="90">
        <f t="shared" si="2"/>
        <v>-3621.6737216250017</v>
      </c>
      <c r="I49" s="5"/>
      <c r="K49" s="85">
        <v>4295370.99</v>
      </c>
      <c r="L49" t="str">
        <f>L38</f>
        <v>excedente JSCP</v>
      </c>
    </row>
    <row r="50" spans="1:12" x14ac:dyDescent="0.25">
      <c r="A50" t="s">
        <v>255</v>
      </c>
      <c r="B50" s="99" t="s">
        <v>4</v>
      </c>
      <c r="C50" s="99" t="s">
        <v>4</v>
      </c>
      <c r="D50" s="99" t="s">
        <v>4</v>
      </c>
      <c r="E50" s="99" t="s">
        <v>4</v>
      </c>
      <c r="F50" s="90">
        <f>-SUM(F46+F48)*25%</f>
        <v>-7240.6295516250011</v>
      </c>
      <c r="G50" s="90">
        <f t="shared" si="2"/>
        <v>-7240.6295516250011</v>
      </c>
      <c r="K50" s="85">
        <f>SUM([2]Sheet1!$N$104+[2]Sheet1!$N$113+[2]Sheet1!$N$119)</f>
        <v>5375330.9700000007</v>
      </c>
      <c r="L50" t="str">
        <f>L39</f>
        <v>intermediários</v>
      </c>
    </row>
    <row r="51" spans="1:12" x14ac:dyDescent="0.25">
      <c r="A51" t="s">
        <v>256</v>
      </c>
      <c r="B51" s="99" t="s">
        <v>4</v>
      </c>
      <c r="C51" s="99" t="s">
        <v>4</v>
      </c>
      <c r="D51" s="7">
        <f>-F51</f>
        <v>14481.25910325</v>
      </c>
      <c r="E51" s="99" t="s">
        <v>4</v>
      </c>
      <c r="F51" s="90">
        <f>-SUM(F46:F50)</f>
        <v>-14481.25910325</v>
      </c>
      <c r="G51" s="99" t="s">
        <v>4</v>
      </c>
      <c r="K51" s="128">
        <f>-SUM([2]Sheet1!$O$98:$P$98)</f>
        <v>-46784.06</v>
      </c>
      <c r="L51" t="s">
        <v>3068</v>
      </c>
    </row>
    <row r="52" spans="1:12" ht="15.75" thickBot="1" x14ac:dyDescent="0.3">
      <c r="A52" t="s">
        <v>257</v>
      </c>
      <c r="B52" s="99" t="s">
        <v>4</v>
      </c>
      <c r="C52" s="99" t="s">
        <v>4</v>
      </c>
      <c r="D52" s="92">
        <f>SUM([2]Sheet1!$O$82-[2]Sheet1!$N$87-[2]Sheet1!$N$90)/1000</f>
        <v>6.4103899999999996</v>
      </c>
      <c r="E52" s="99" t="s">
        <v>4</v>
      </c>
      <c r="F52" s="99" t="s">
        <v>4</v>
      </c>
      <c r="G52" s="92">
        <f t="shared" si="2"/>
        <v>6.4103899999999996</v>
      </c>
      <c r="K52" s="85">
        <f>SUM(K49:K51)</f>
        <v>9623917.9000000004</v>
      </c>
    </row>
    <row r="53" spans="1:12" ht="15.75" thickBot="1" x14ac:dyDescent="0.3">
      <c r="A53" s="4" t="s">
        <v>2748</v>
      </c>
      <c r="B53" s="175">
        <f>B42</f>
        <v>254431.25592</v>
      </c>
      <c r="C53" s="175" t="e">
        <f>SUM(C43+C48)</f>
        <v>#REF!</v>
      </c>
      <c r="D53" s="175">
        <f>SUM(D42+D45+D51+D52)</f>
        <v>30347.489618250005</v>
      </c>
      <c r="E53" s="176">
        <f>SUM(E42+E45+E49)</f>
        <v>3618.9558299999994</v>
      </c>
      <c r="F53" s="175" t="s">
        <v>4</v>
      </c>
      <c r="G53" s="440">
        <f>SUM(G42+G45,G46,G49,G50,G52)-1</f>
        <v>303147.04443174985</v>
      </c>
    </row>
    <row r="54" spans="1:12" ht="15.75" thickTop="1" x14ac:dyDescent="0.25">
      <c r="G54" s="455"/>
      <c r="K54" s="85">
        <v>7240629.5499999998</v>
      </c>
      <c r="L54" t="s">
        <v>3065</v>
      </c>
    </row>
    <row r="55" spans="1:12" x14ac:dyDescent="0.25">
      <c r="A55" s="173" t="s">
        <v>2176</v>
      </c>
      <c r="B55" s="211" t="e">
        <f>SUM(#REF!)</f>
        <v>#REF!</v>
      </c>
      <c r="C55" s="454" t="e">
        <f>SUM(#REF!)</f>
        <v>#REF!</v>
      </c>
      <c r="D55" s="454" t="e">
        <f>SUM(#REF!)</f>
        <v>#REF!</v>
      </c>
      <c r="E55" s="211" t="e">
        <f>SUM(#REF!)</f>
        <v>#REF!</v>
      </c>
      <c r="F55" s="211">
        <f>SUM(F42)</f>
        <v>0</v>
      </c>
      <c r="G55" s="211" t="e">
        <f>SUM(#REF!)</f>
        <v>#REF!</v>
      </c>
      <c r="K55" s="128">
        <f>-SUM([2]Sheet1!$N$132)</f>
        <v>-3621673.72</v>
      </c>
      <c r="L55" t="s">
        <v>3066</v>
      </c>
    </row>
    <row r="56" spans="1:12" x14ac:dyDescent="0.25">
      <c r="G56" s="115"/>
      <c r="K56" s="315">
        <f>SUM(K54:K55)</f>
        <v>3618955.8299999996</v>
      </c>
      <c r="L56" t="s">
        <v>3067</v>
      </c>
    </row>
    <row r="57" spans="1:12" x14ac:dyDescent="0.25">
      <c r="D57" s="5"/>
      <c r="G57" s="133"/>
    </row>
    <row r="58" spans="1:12" x14ac:dyDescent="0.25">
      <c r="D58" s="5"/>
    </row>
    <row r="59" spans="1:12" x14ac:dyDescent="0.25">
      <c r="D59" s="125"/>
    </row>
    <row r="60" spans="1:12" x14ac:dyDescent="0.25">
      <c r="D60" s="5"/>
    </row>
    <row r="61" spans="1:12" x14ac:dyDescent="0.25">
      <c r="D61" s="5"/>
    </row>
    <row r="62" spans="1:12" x14ac:dyDescent="0.25">
      <c r="I62" s="5"/>
    </row>
    <row r="63" spans="1:12" x14ac:dyDescent="0.25">
      <c r="D63" s="5"/>
    </row>
  </sheetData>
  <mergeCells count="1">
    <mergeCell ref="C6:D6"/>
  </mergeCells>
  <pageMargins left="0.511811024" right="0.511811024" top="0.78740157499999996" bottom="0.78740157499999996" header="0.31496062000000002" footer="0.31496062000000002"/>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34</vt:i4>
      </vt:variant>
      <vt:variant>
        <vt:lpstr>Intervalos nomeados</vt:lpstr>
      </vt:variant>
      <vt:variant>
        <vt:i4>4</vt:i4>
      </vt:variant>
    </vt:vector>
  </HeadingPairs>
  <TitlesOfParts>
    <vt:vector size="38" baseType="lpstr">
      <vt:lpstr>BP</vt:lpstr>
      <vt:lpstr>DRE</vt:lpstr>
      <vt:lpstr>DRA</vt:lpstr>
      <vt:lpstr>DMPL</vt:lpstr>
      <vt:lpstr>DFC</vt:lpstr>
      <vt:lpstr>DVA</vt:lpstr>
      <vt:lpstr>BALANCETE 12-2020V2</vt:lpstr>
      <vt:lpstr>BALANCETE 12-2020</vt:lpstr>
      <vt:lpstr>DMPL (2)</vt:lpstr>
      <vt:lpstr>Balancete Pessoal</vt:lpstr>
      <vt:lpstr>1. Contexto Operacional a)</vt:lpstr>
      <vt:lpstr>1. Contexto operacional b)</vt:lpstr>
      <vt:lpstr>4. Caixa e equivalentes de caix</vt:lpstr>
      <vt:lpstr>5. Contas a receber </vt:lpstr>
      <vt:lpstr>6. Outros créditos </vt:lpstr>
      <vt:lpstr>7. Partes relacionadas</vt:lpstr>
      <vt:lpstr>8. Investimentos a)</vt:lpstr>
      <vt:lpstr>8. Investimentos b)</vt:lpstr>
      <vt:lpstr>9. Imobilizado</vt:lpstr>
      <vt:lpstr>9. Imobilizado a) b)</vt:lpstr>
      <vt:lpstr>9. Imobilizado c)</vt:lpstr>
      <vt:lpstr>10. Intangível</vt:lpstr>
      <vt:lpstr>11. Uso do bem público (CESAP)</vt:lpstr>
      <vt:lpstr>12. Patrimônio líquido</vt:lpstr>
      <vt:lpstr>13. Receita operacional líquida</vt:lpstr>
      <vt:lpstr>14. Custos operacionais</vt:lpstr>
      <vt:lpstr>15. Energia elétrica compra </vt:lpstr>
      <vt:lpstr>razão energia elétrica comprada</vt:lpstr>
      <vt:lpstr>16. Despesas Gerais e Administr</vt:lpstr>
      <vt:lpstr>17. Outras Desp. Rec. Oper. liq</vt:lpstr>
      <vt:lpstr>18. Receitas e despesas fin.liq</vt:lpstr>
      <vt:lpstr>19. Imposto de renda e cont.soc</vt:lpstr>
      <vt:lpstr>20. Instrumentos financeiros</vt:lpstr>
      <vt:lpstr>Plan1</vt:lpstr>
      <vt:lpstr>'19. Imposto de renda e cont.soc'!Area_de_impressao</vt:lpstr>
      <vt:lpstr>BP!Area_de_impressao</vt:lpstr>
      <vt:lpstr>DFC!Area_de_impressao</vt:lpstr>
      <vt:lpstr>DVA!Area_de_impressao</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Celso Cesar Barbosa Filho</dc:creator>
  <cp:lastModifiedBy>Ana Lucia Sassaron Sanches</cp:lastModifiedBy>
  <cp:lastPrinted>2021-04-08T22:37:37Z</cp:lastPrinted>
  <dcterms:created xsi:type="dcterms:W3CDTF">2018-10-10T19:07:25Z</dcterms:created>
  <dcterms:modified xsi:type="dcterms:W3CDTF">2021-06-08T17:58:33Z</dcterms:modified>
</cp:coreProperties>
</file>